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85" yWindow="65521" windowWidth="5715" windowHeight="8115" tabRatio="899" firstSheet="1" activeTab="1"/>
  </bookViews>
  <sheets>
    <sheet name="Anagrafica" sheetId="1" state="hidden" r:id="rId1"/>
    <sheet name="Colture-Allevamenti" sheetId="2" r:id="rId2"/>
    <sheet name="Lavoro-Trasformazione" sheetId="3" r:id="rId3"/>
    <sheet name="Riepilogo" sheetId="4" r:id="rId4"/>
    <sheet name="Controlli" sheetId="5" state="hidden" r:id="rId5"/>
    <sheet name="CostoLavoro" sheetId="6" state="hidden" r:id="rId6"/>
    <sheet name="Redditi agricoli" sheetId="7" state="hidden" r:id="rId7"/>
    <sheet name="TabAttività" sheetId="8" state="hidden" r:id="rId8"/>
    <sheet name="TabLavoro" sheetId="9" state="hidden" r:id="rId9"/>
    <sheet name="CalcoliTrasf" sheetId="10" state="hidden" r:id="rId10"/>
  </sheets>
  <definedNames>
    <definedName name="_xlnm.Print_Area" localSheetId="5">'Riepilogo'!$G$4:$N$13</definedName>
    <definedName name="_xlnm.Print_Area" localSheetId="6">'Redditi agricoli'!$A$2:$S$86</definedName>
    <definedName name="_xlnm.Print_Area" localSheetId="3">'Riepilogo'!$A$1:$Y$33</definedName>
    <definedName name="Input_colture">'Colture-Allevamenti'!$G$8:$K$62</definedName>
  </definedNames>
  <calcPr fullCalcOnLoad="1"/>
</workbook>
</file>

<file path=xl/comments3.xml><?xml version="1.0" encoding="utf-8"?>
<comments xmlns="http://schemas.openxmlformats.org/spreadsheetml/2006/main">
  <authors>
    <author>Giorgio Seroglia</author>
  </authors>
  <commentList>
    <comment ref="BI10" authorId="0">
      <text>
        <r>
          <rPr>
            <b/>
            <sz val="8"/>
            <rFont val="Tahoma"/>
            <family val="2"/>
          </rPr>
          <t>Livello elevato di auto-mazione degli impianti</t>
        </r>
      </text>
    </comment>
    <comment ref="BI12" authorId="0">
      <text>
        <r>
          <rPr>
            <b/>
            <sz val="8"/>
            <rFont val="Tahoma"/>
            <family val="2"/>
          </rPr>
          <t>Giorni effettivi di esercizio dell'attività di trasformazione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Giorgio Seroglia</author>
  </authors>
  <commentList>
    <comment ref="B8" authorId="0">
      <text>
        <r>
          <rPr>
            <b/>
            <sz val="10"/>
            <rFont val="Tahoma"/>
            <family val="2"/>
          </rPr>
          <t>Giorgio Seroglia:</t>
        </r>
        <r>
          <rPr>
            <sz val="10"/>
            <rFont val="Tahoma"/>
            <family val="2"/>
          </rPr>
          <t xml:space="preserve">
Capre</t>
        </r>
      </text>
    </comment>
    <comment ref="B7" authorId="0">
      <text>
        <r>
          <rPr>
            <b/>
            <sz val="10"/>
            <rFont val="Tahoma"/>
            <family val="2"/>
          </rPr>
          <t>Giorgio Seroglia:</t>
        </r>
        <r>
          <rPr>
            <sz val="10"/>
            <rFont val="Tahoma"/>
            <family val="2"/>
          </rPr>
          <t xml:space="preserve">
Pecore</t>
        </r>
      </text>
    </comment>
  </commentList>
</comments>
</file>

<file path=xl/sharedStrings.xml><?xml version="1.0" encoding="utf-8"?>
<sst xmlns="http://schemas.openxmlformats.org/spreadsheetml/2006/main" count="1090" uniqueCount="482">
  <si>
    <t>Ditta individuale</t>
  </si>
  <si>
    <t>Società cooperativa</t>
  </si>
  <si>
    <t>Società di capitali</t>
  </si>
  <si>
    <t>Società di persone</t>
  </si>
  <si>
    <t>Società in accomandita</t>
  </si>
  <si>
    <t>Altra forma</t>
  </si>
  <si>
    <t>Denominazione</t>
  </si>
  <si>
    <t>e-mail azienda</t>
  </si>
  <si>
    <t>Fax azienda</t>
  </si>
  <si>
    <t>e-mail richiedente</t>
  </si>
  <si>
    <t>Attività Produttiva</t>
  </si>
  <si>
    <t>ID_ATTIVITA</t>
  </si>
  <si>
    <t>ID_TIPOATTIVITA</t>
  </si>
  <si>
    <t>ATTIVITA</t>
  </si>
  <si>
    <t>Raggruppamento Attività</t>
  </si>
  <si>
    <t>COEFFIC_LAVOROUNITARIO</t>
  </si>
  <si>
    <t>COEFFIC_UBA</t>
  </si>
  <si>
    <t>01</t>
  </si>
  <si>
    <t>1 - Colture</t>
  </si>
  <si>
    <t>CR. Cereali da granella</t>
  </si>
  <si>
    <t>Cereali da granella</t>
  </si>
  <si>
    <t>02</t>
  </si>
  <si>
    <t>P. Patata</t>
  </si>
  <si>
    <t>Patata</t>
  </si>
  <si>
    <t>03</t>
  </si>
  <si>
    <t>PI. Piante Industriali</t>
  </si>
  <si>
    <t>Altre piante industriali</t>
  </si>
  <si>
    <t>04</t>
  </si>
  <si>
    <t>O. Ortaggi</t>
  </si>
  <si>
    <t>Ortaggi</t>
  </si>
  <si>
    <t>05</t>
  </si>
  <si>
    <t>OF. Orto familiare</t>
  </si>
  <si>
    <t>06</t>
  </si>
  <si>
    <t>PAM. Piante medicinali e aromatiche</t>
  </si>
  <si>
    <t>Piante Medicinali e Aromatiche</t>
  </si>
  <si>
    <t>07</t>
  </si>
  <si>
    <t>FF. Fiori</t>
  </si>
  <si>
    <t>Fiori in piena aria</t>
  </si>
  <si>
    <t>08</t>
  </si>
  <si>
    <t>VV. Vivai</t>
  </si>
  <si>
    <t>Vivai</t>
  </si>
  <si>
    <t>09</t>
  </si>
  <si>
    <t>S. Serre</t>
  </si>
  <si>
    <t>Serre</t>
  </si>
  <si>
    <t>10</t>
  </si>
  <si>
    <t>PRI. Prato irriguo</t>
  </si>
  <si>
    <t>Prato</t>
  </si>
  <si>
    <t>11</t>
  </si>
  <si>
    <t>PR. Prato asciutto</t>
  </si>
  <si>
    <t>12</t>
  </si>
  <si>
    <t>PF. Pascolo fertile</t>
  </si>
  <si>
    <t>Pascolo</t>
  </si>
  <si>
    <t>13</t>
  </si>
  <si>
    <t>PM. Pascolo magro</t>
  </si>
  <si>
    <t>14</t>
  </si>
  <si>
    <t>PRA. Prato arborato</t>
  </si>
  <si>
    <t>Prato Arborato</t>
  </si>
  <si>
    <t>15</t>
  </si>
  <si>
    <t>F. Frutteto</t>
  </si>
  <si>
    <t>Frutteto</t>
  </si>
  <si>
    <t>16</t>
  </si>
  <si>
    <t>Frutta a guscio</t>
  </si>
  <si>
    <t>17</t>
  </si>
  <si>
    <t>PFR. Piccoli frutti</t>
  </si>
  <si>
    <t>Piccoli frutti</t>
  </si>
  <si>
    <t>18</t>
  </si>
  <si>
    <t>VD. Vigneto per vino di qualità</t>
  </si>
  <si>
    <t>Vigneto</t>
  </si>
  <si>
    <t>19</t>
  </si>
  <si>
    <t>VT. Vigneto per altri vini</t>
  </si>
  <si>
    <t>20</t>
  </si>
  <si>
    <t>AL. Impianti artificiali da legno</t>
  </si>
  <si>
    <t>Impianti artificiali da legno</t>
  </si>
  <si>
    <t>21</t>
  </si>
  <si>
    <t>B. Boschi curati</t>
  </si>
  <si>
    <t>Boschi curati</t>
  </si>
  <si>
    <t>22</t>
  </si>
  <si>
    <t>I. Incolti</t>
  </si>
  <si>
    <t>Incolto</t>
  </si>
  <si>
    <t>23</t>
  </si>
  <si>
    <t>T. Tare</t>
  </si>
  <si>
    <t>Tare</t>
  </si>
  <si>
    <t>24</t>
  </si>
  <si>
    <t>PFA. Pascolo fertile alpeggio</t>
  </si>
  <si>
    <t>Alpeggio</t>
  </si>
  <si>
    <t>25</t>
  </si>
  <si>
    <t>PMA. Pascolo magro alpeggio</t>
  </si>
  <si>
    <t>30</t>
  </si>
  <si>
    <t>2 - Allevamenti</t>
  </si>
  <si>
    <t>BM1. Bovini &lt; 1 anno - maschi</t>
  </si>
  <si>
    <t>Altri Bovini</t>
  </si>
  <si>
    <t>31</t>
  </si>
  <si>
    <t>BF1. Bovini &lt; 1 anno - femmine</t>
  </si>
  <si>
    <t>32</t>
  </si>
  <si>
    <t>BM2. Bovini 1-2 anni - maschi</t>
  </si>
  <si>
    <t>33</t>
  </si>
  <si>
    <t>BF2. Bovini 1-2 anni - femmine</t>
  </si>
  <si>
    <t>34</t>
  </si>
  <si>
    <t>BM3. Bovini &gt; 2 anni - maschi</t>
  </si>
  <si>
    <t>35</t>
  </si>
  <si>
    <t>BF3. Bovini &gt; 2 anni - giovenche</t>
  </si>
  <si>
    <t>36</t>
  </si>
  <si>
    <t>BV1. Bovini: Vacche da latte</t>
  </si>
  <si>
    <t>Vacche da latte</t>
  </si>
  <si>
    <t>37</t>
  </si>
  <si>
    <t>BV2. Bovini: Altre vacche</t>
  </si>
  <si>
    <t>38</t>
  </si>
  <si>
    <t>Ovicaprini da Latte</t>
  </si>
  <si>
    <t>39</t>
  </si>
  <si>
    <t>OV2. Ovini: altri</t>
  </si>
  <si>
    <t>Altri Ovicaprini</t>
  </si>
  <si>
    <t>40</t>
  </si>
  <si>
    <t>41</t>
  </si>
  <si>
    <t>CA2. Caprini: altri</t>
  </si>
  <si>
    <t>42</t>
  </si>
  <si>
    <t>EQ1. Equini</t>
  </si>
  <si>
    <t>Equini</t>
  </si>
  <si>
    <t>43</t>
  </si>
  <si>
    <t>SU2. Suini - suinetti &lt; 20 Kg</t>
  </si>
  <si>
    <t>Suini</t>
  </si>
  <si>
    <t>44</t>
  </si>
  <si>
    <t>SU3. Suini - altri</t>
  </si>
  <si>
    <t>45</t>
  </si>
  <si>
    <t>SU1. Suini - scrofe &gt; 50 kg</t>
  </si>
  <si>
    <t>46</t>
  </si>
  <si>
    <t>CON. Conigli fattrici</t>
  </si>
  <si>
    <t>Conigli</t>
  </si>
  <si>
    <t>47</t>
  </si>
  <si>
    <t>AV1. Galline ovaiole (100 capi)</t>
  </si>
  <si>
    <t>Avicoli (100 capi)</t>
  </si>
  <si>
    <t>48</t>
  </si>
  <si>
    <t>AV2. Polli da carne (100 capi)</t>
  </si>
  <si>
    <t>49</t>
  </si>
  <si>
    <t>AV3. Altri Volatili (100 capi)</t>
  </si>
  <si>
    <t>50</t>
  </si>
  <si>
    <t>API. Api</t>
  </si>
  <si>
    <t>Api (N° Arnie)</t>
  </si>
  <si>
    <t>51</t>
  </si>
  <si>
    <t>ALA. Altri allevamenti (100 capi)</t>
  </si>
  <si>
    <t>Altri allevamenti (100 capi)</t>
  </si>
  <si>
    <t>80</t>
  </si>
  <si>
    <t>3 - Altre</t>
  </si>
  <si>
    <t>81</t>
  </si>
  <si>
    <t>82</t>
  </si>
  <si>
    <t>Agriturismo</t>
  </si>
  <si>
    <t>83</t>
  </si>
  <si>
    <t>Attività Turistico - Artigianali</t>
  </si>
  <si>
    <t>Codice</t>
  </si>
  <si>
    <t>Descrizione</t>
  </si>
  <si>
    <t>27</t>
  </si>
  <si>
    <t>28</t>
  </si>
  <si>
    <t>29</t>
  </si>
  <si>
    <t>AFFITTOUNITARIO</t>
  </si>
  <si>
    <t>REDDITOLORDOUNITARIO</t>
  </si>
  <si>
    <t>DETRAZIONIUNITARIE</t>
  </si>
  <si>
    <t>Mlsu</t>
  </si>
  <si>
    <t>Cisu</t>
  </si>
  <si>
    <t>Dimensione</t>
  </si>
  <si>
    <t>Effettiva</t>
  </si>
  <si>
    <t>Standard</t>
  </si>
  <si>
    <t>Raggruppamento</t>
  </si>
  <si>
    <t>ID_LAVOROUNITARIO</t>
  </si>
  <si>
    <t>DESCR_AGGREGATO</t>
  </si>
  <si>
    <t>MODULO</t>
  </si>
  <si>
    <t>LAVORO_BASE</t>
  </si>
  <si>
    <t>TIPOCURVA</t>
  </si>
  <si>
    <r>
      <t>Cisu</t>
    </r>
    <r>
      <rPr>
        <b/>
        <vertAlign val="subscript"/>
        <sz val="10"/>
        <rFont val="Arial"/>
        <family val="2"/>
      </rPr>
      <t>d</t>
    </r>
  </si>
  <si>
    <t>Pns</t>
  </si>
  <si>
    <t>Redditi specifici unitari</t>
  </si>
  <si>
    <t>Lavoro</t>
  </si>
  <si>
    <t>Lu</t>
  </si>
  <si>
    <r>
      <t>Lu</t>
    </r>
    <r>
      <rPr>
        <b/>
        <vertAlign val="subscript"/>
        <sz val="10"/>
        <rFont val="Arial"/>
        <family val="2"/>
      </rPr>
      <t>d</t>
    </r>
  </si>
  <si>
    <t>Dimens.</t>
  </si>
  <si>
    <t>Ltot</t>
  </si>
  <si>
    <t>Equival.</t>
  </si>
  <si>
    <t>Coeff. x</t>
  </si>
  <si>
    <t>TOTALE COLTURE</t>
  </si>
  <si>
    <t>TOTALE ALLEVAMENTI</t>
  </si>
  <si>
    <t>Colture</t>
  </si>
  <si>
    <t>Allevamenti</t>
  </si>
  <si>
    <t>Totale Lavoro</t>
  </si>
  <si>
    <t>n° giornate</t>
  </si>
  <si>
    <t>ULU</t>
  </si>
  <si>
    <t>Ricavi netti attività produttive</t>
  </si>
  <si>
    <t>Totale ricavi netti</t>
  </si>
  <si>
    <t>Totale costi aziendali</t>
  </si>
  <si>
    <t>Proprietà</t>
  </si>
  <si>
    <t>Affitto</t>
  </si>
  <si>
    <t>Fondovalle</t>
  </si>
  <si>
    <t>Media annua capi</t>
  </si>
  <si>
    <t>- di cui salariato</t>
  </si>
  <si>
    <t>- di cui familiare</t>
  </si>
  <si>
    <r>
      <t>Pnsu</t>
    </r>
    <r>
      <rPr>
        <b/>
        <vertAlign val="subscript"/>
        <sz val="10"/>
        <rFont val="Arial"/>
        <family val="2"/>
      </rPr>
      <t>d</t>
    </r>
  </si>
  <si>
    <t>Salari e oneri pagati</t>
  </si>
  <si>
    <t>Oneri sociali familiari</t>
  </si>
  <si>
    <t>Affitti</t>
  </si>
  <si>
    <t>A tempo indeterminato</t>
  </si>
  <si>
    <t>A tempo determinato</t>
  </si>
  <si>
    <t>Specializzati</t>
  </si>
  <si>
    <t>Qualificati</t>
  </si>
  <si>
    <t>Comuni</t>
  </si>
  <si>
    <t>REDDITO CONFRONTO</t>
  </si>
  <si>
    <t>0</t>
  </si>
  <si>
    <t>Non pagante</t>
  </si>
  <si>
    <t>1</t>
  </si>
  <si>
    <t>Prima fascia</t>
  </si>
  <si>
    <t>2</t>
  </si>
  <si>
    <t>Seconda fascia</t>
  </si>
  <si>
    <t>3</t>
  </si>
  <si>
    <t>Terza fascia</t>
  </si>
  <si>
    <t>4</t>
  </si>
  <si>
    <t>Quarta fascia</t>
  </si>
  <si>
    <t>Fascia contributiva</t>
  </si>
  <si>
    <t>tra 21 e 65 anni</t>
  </si>
  <si>
    <t>fino a 21 anni</t>
  </si>
  <si>
    <t>oltre 65 anni</t>
  </si>
  <si>
    <t>Classe di età</t>
  </si>
  <si>
    <t>TABELLE</t>
  </si>
  <si>
    <t>CALCOLO</t>
  </si>
  <si>
    <t>Qualifica</t>
  </si>
  <si>
    <t>Tipo di Rapporto</t>
  </si>
  <si>
    <t>LAVORO SALARIATO (costo)</t>
  </si>
  <si>
    <t>ONERI SOCIALI LAVORATORI FAMILIARI (costo)</t>
  </si>
  <si>
    <t>LAVORO SALARIATO (costo unitario)</t>
  </si>
  <si>
    <t>ONERI SOCIALI LAVORATORI FAMILIARI (costo unitario)</t>
  </si>
  <si>
    <t>TOTALE</t>
  </si>
  <si>
    <t>MEDIA</t>
  </si>
  <si>
    <t>Unitari</t>
  </si>
  <si>
    <t>Totali</t>
  </si>
  <si>
    <t>RIEPILOGO ESITO</t>
  </si>
  <si>
    <t>n° capi</t>
  </si>
  <si>
    <t>giorni</t>
  </si>
  <si>
    <t>Superficie (ettari)</t>
  </si>
  <si>
    <t>Redditi specifici</t>
  </si>
  <si>
    <r>
      <t>Cis</t>
    </r>
    <r>
      <rPr>
        <b/>
        <vertAlign val="subscript"/>
        <sz val="10"/>
        <rFont val="Arial"/>
        <family val="2"/>
      </rPr>
      <t>d</t>
    </r>
  </si>
  <si>
    <r>
      <t>Pns</t>
    </r>
    <r>
      <rPr>
        <b/>
        <vertAlign val="subscript"/>
        <sz val="10"/>
        <rFont val="Arial"/>
        <family val="2"/>
      </rPr>
      <t>d</t>
    </r>
  </si>
  <si>
    <t>Esito globale accertamento</t>
  </si>
  <si>
    <t>Dettaglio accertamento</t>
  </si>
  <si>
    <t>Costi Generali base</t>
  </si>
  <si>
    <t>Euro</t>
  </si>
  <si>
    <t xml:space="preserve">Azienda:   </t>
  </si>
  <si>
    <t>I fascia</t>
  </si>
  <si>
    <t>II fascia</t>
  </si>
  <si>
    <t>III fascia</t>
  </si>
  <si>
    <t>IV fascia</t>
  </si>
  <si>
    <t>ONERI SOCIALI LAVORATORI FAMILIARI (numero persone)</t>
  </si>
  <si>
    <t>LAVORO SALARIATO (numero giornate/anno)</t>
  </si>
  <si>
    <t>Calcoli di supporto per i costi aziendali</t>
  </si>
  <si>
    <t>Totale</t>
  </si>
  <si>
    <t>Comodato</t>
  </si>
  <si>
    <t>Colture praticate</t>
  </si>
  <si>
    <t>ACCERTAMENTO PARAMETRICO DELLA REDDITIVITA' AGRICOLA</t>
  </si>
  <si>
    <t>Cognome</t>
  </si>
  <si>
    <t>Nome</t>
  </si>
  <si>
    <t>Sesso</t>
  </si>
  <si>
    <t>Telefono</t>
  </si>
  <si>
    <t>Cellulare</t>
  </si>
  <si>
    <t>Fax</t>
  </si>
  <si>
    <t>Codice Fiscale</t>
  </si>
  <si>
    <t>Comune</t>
  </si>
  <si>
    <t>Indirizzo</t>
  </si>
  <si>
    <t>CAP</t>
  </si>
  <si>
    <t>Nascita:</t>
  </si>
  <si>
    <t>Luogo</t>
  </si>
  <si>
    <t>Provincia</t>
  </si>
  <si>
    <t>Data</t>
  </si>
  <si>
    <t>Residenza:</t>
  </si>
  <si>
    <t>Anagrafica Richiedente</t>
  </si>
  <si>
    <t>Anagrafica Azienda</t>
  </si>
  <si>
    <t>Partita IVA</t>
  </si>
  <si>
    <t>Forma societaria</t>
  </si>
  <si>
    <t>Richiesta n.</t>
  </si>
  <si>
    <t>del</t>
  </si>
  <si>
    <t xml:space="preserve">Anno di riferimento: </t>
  </si>
  <si>
    <t>Allevamenti praticati</t>
  </si>
  <si>
    <t>Azienda:</t>
  </si>
  <si>
    <t>Totale giornate / anno</t>
  </si>
  <si>
    <t>fino a 21</t>
  </si>
  <si>
    <t>Classe di età (anni)</t>
  </si>
  <si>
    <t>da 21 a 65</t>
  </si>
  <si>
    <t>oltre 65</t>
  </si>
  <si>
    <t>Vinificazione/Imbottigliamento</t>
  </si>
  <si>
    <t>Tipo di Trattamento</t>
  </si>
  <si>
    <t>Lavorazione latte bovino</t>
  </si>
  <si>
    <t>Lavorazione latte ovicaprino</t>
  </si>
  <si>
    <t>OV1. Ovini: fattrici da latte</t>
  </si>
  <si>
    <t>CA1. Caprini: fattrici da latte</t>
  </si>
  <si>
    <t>Unità di misura</t>
  </si>
  <si>
    <t>Ql di uva</t>
  </si>
  <si>
    <t>Ql di latte</t>
  </si>
  <si>
    <t>di cui Acquisti</t>
  </si>
  <si>
    <t>Quantità lavorata</t>
  </si>
  <si>
    <t>Test di congruità dei dati della Trasformazione</t>
  </si>
  <si>
    <t>Totale annuo</t>
  </si>
  <si>
    <t>PAM. Piante aromatiche e medic.</t>
  </si>
  <si>
    <t>TR1. Vinificazione/Imbottigliamento (ql)</t>
  </si>
  <si>
    <t>Vendita diretta</t>
  </si>
  <si>
    <t>Altre lavorazioni</t>
  </si>
  <si>
    <t>84</t>
  </si>
  <si>
    <t>85</t>
  </si>
  <si>
    <t>86</t>
  </si>
  <si>
    <t>87</t>
  </si>
  <si>
    <t>Trasformazione vitivinicola</t>
  </si>
  <si>
    <t>TR4. Altre lavorazioni</t>
  </si>
  <si>
    <t>TR2. Lavorazione latte bovino (ql)</t>
  </si>
  <si>
    <t>TR3. Lavorazione latte ovicaprino (ql)</t>
  </si>
  <si>
    <t>LEGENDA</t>
  </si>
  <si>
    <t>Da verificare in BD o altre elaborazioni INEA</t>
  </si>
  <si>
    <t>Estratto da BD (vedi sotto)</t>
  </si>
  <si>
    <t>Stimato da altra fonte</t>
  </si>
  <si>
    <t>Calcolo</t>
  </si>
  <si>
    <t>Settore Vitivinicolo</t>
  </si>
  <si>
    <t>Uva</t>
  </si>
  <si>
    <t>Resa di</t>
  </si>
  <si>
    <t>Vino</t>
  </si>
  <si>
    <t>Bottiglie</t>
  </si>
  <si>
    <t>Vendita diretta bottiglie</t>
  </si>
  <si>
    <t>ql</t>
  </si>
  <si>
    <t>prezzo</t>
  </si>
  <si>
    <t>importo</t>
  </si>
  <si>
    <t>Trasform.</t>
  </si>
  <si>
    <t>hl</t>
  </si>
  <si>
    <t>nr</t>
  </si>
  <si>
    <t>PL</t>
  </si>
  <si>
    <t>% Costi spec</t>
  </si>
  <si>
    <t>Costi spec.</t>
  </si>
  <si>
    <t>ML</t>
  </si>
  <si>
    <t>ML per ql</t>
  </si>
  <si>
    <t>Settore Lattiero-caseario bovino</t>
  </si>
  <si>
    <t>Latte bovino</t>
  </si>
  <si>
    <t>Formaggio bovino</t>
  </si>
  <si>
    <t>Vendita diretta Formaggio bovino</t>
  </si>
  <si>
    <t>Settore Lattiero-caseario ovicaprino</t>
  </si>
  <si>
    <t>Latte ovicaprino</t>
  </si>
  <si>
    <t>Formaggio ovicaprino</t>
  </si>
  <si>
    <t>SommaDiPRODUZ</t>
  </si>
  <si>
    <t>PL_UVA</t>
  </si>
  <si>
    <t>SommaDiTRASF_QTA</t>
  </si>
  <si>
    <t>Prezzo</t>
  </si>
  <si>
    <t>Superficie</t>
  </si>
  <si>
    <t>Resa</t>
  </si>
  <si>
    <t>PL_VINO</t>
  </si>
  <si>
    <t>ResaTrasf</t>
  </si>
  <si>
    <t>N° az.</t>
  </si>
  <si>
    <t>Trasf. Media uva</t>
  </si>
  <si>
    <t>Modulo uva trasformata</t>
  </si>
  <si>
    <t>SommaDiVENDI_QTA</t>
  </si>
  <si>
    <t>SommaDiVENDI_VAL</t>
  </si>
  <si>
    <t>Formaggio bovino (1154 e 1156)</t>
  </si>
  <si>
    <t>Trasf. Media latte</t>
  </si>
  <si>
    <t>Vacche equiv</t>
  </si>
  <si>
    <t>Lavoro equiv</t>
  </si>
  <si>
    <t>Modulo latte trasformato</t>
  </si>
  <si>
    <t>Latte ovicaprino (1950)</t>
  </si>
  <si>
    <t>Formaggio ovicaprino (1954)</t>
  </si>
  <si>
    <t>Modulo vendita diretta</t>
  </si>
  <si>
    <t>ML per ql di uva</t>
  </si>
  <si>
    <t>Vendita diretta altri</t>
  </si>
  <si>
    <t>Vendita diretta vino</t>
  </si>
  <si>
    <t>% vendita diretta</t>
  </si>
  <si>
    <t>Trasformazione / Commercializzazione</t>
  </si>
  <si>
    <t>Totale persone</t>
  </si>
  <si>
    <t>Esito</t>
  </si>
  <si>
    <t>Percentuale</t>
  </si>
  <si>
    <t>Maggiore del 50%</t>
  </si>
  <si>
    <t>% incremento ML rispetto a fase precedente</t>
  </si>
  <si>
    <t>Lavorazione latte bovino (ql)</t>
  </si>
  <si>
    <t>Lavorazione latte ovicaprino (ql)</t>
  </si>
  <si>
    <t>Vendita diretta formaggi bovini</t>
  </si>
  <si>
    <t>Vendita diretta formaggi ovicaprini</t>
  </si>
  <si>
    <t>VD2. Vendita diretta formaggi bovini (migl. €)</t>
  </si>
  <si>
    <t>VD3. Vendita diretta formaggi ovicaprini (migl. €)</t>
  </si>
  <si>
    <t>VD4. Vendita diretta altri prodotti (migl. €)</t>
  </si>
  <si>
    <t>TOTALE TRASFORMAZIONE E VENDITA</t>
  </si>
  <si>
    <t>% Ricavi</t>
  </si>
  <si>
    <t>% Reddito</t>
  </si>
  <si>
    <t>Totale Reddito netto aziendale</t>
  </si>
  <si>
    <t>Requisito richiesto</t>
  </si>
  <si>
    <t>Maggiore o uguale del 33,3%</t>
  </si>
  <si>
    <t>Reddito netto giornaliero (Euro)</t>
  </si>
  <si>
    <t>API. Api (numero arnie)</t>
  </si>
  <si>
    <t>Trasformazione</t>
  </si>
  <si>
    <t>altre lavorazioni</t>
  </si>
  <si>
    <t>Ristorazione</t>
  </si>
  <si>
    <t>Ospitalità</t>
  </si>
  <si>
    <t>Contoterzismo ed altro</t>
  </si>
  <si>
    <t>Fatturato</t>
  </si>
  <si>
    <t>euro</t>
  </si>
  <si>
    <t>88</t>
  </si>
  <si>
    <t>89</t>
  </si>
  <si>
    <t>90</t>
  </si>
  <si>
    <t>Locazione</t>
  </si>
  <si>
    <t>91</t>
  </si>
  <si>
    <t>VD1. Vendita diretta vino (% produzione)</t>
  </si>
  <si>
    <t>Contoterzismo</t>
  </si>
  <si>
    <t>Artigianato rurale ed altre ammesse</t>
  </si>
  <si>
    <t>TOTALE AGRITURISMO</t>
  </si>
  <si>
    <t>Fatturato max presunto</t>
  </si>
  <si>
    <t>Materia prima acquistata</t>
  </si>
  <si>
    <t>Acquisti</t>
  </si>
  <si>
    <t>Rese standard</t>
  </si>
  <si>
    <t>Controlli sulle rese</t>
  </si>
  <si>
    <t>Valore aggiunto per vendita al dettaglio</t>
  </si>
  <si>
    <t>Messaggio</t>
  </si>
  <si>
    <t>Limite accettabile</t>
  </si>
  <si>
    <t>Errore          (0 no; 1 si)</t>
  </si>
  <si>
    <t>Materia Prima prodotta (vedi Redditi Agricoli)</t>
  </si>
  <si>
    <t>Controlli sulla vendita diretta</t>
  </si>
  <si>
    <t>Controlli sugli acquisti</t>
  </si>
  <si>
    <t>Controlli sulle lavorazioni minime</t>
  </si>
  <si>
    <t>Calcoli per fatturato generato dalla materia prima disponibile</t>
  </si>
  <si>
    <t>NB: Non c'è limite minimo per le altre lavorazioni</t>
  </si>
  <si>
    <t>TRASFORMAZIONE ED ATTIVITA' COMPLEMENTARI</t>
  </si>
  <si>
    <t>Altre</t>
  </si>
  <si>
    <t>Quantità di manodopera familiare</t>
  </si>
  <si>
    <t>Quantità di lavoro "agricolo"</t>
  </si>
  <si>
    <t>Integrazioni pubbliche al reddito aziendale</t>
  </si>
  <si>
    <t>Quantità di reddito "non agricolo"</t>
  </si>
  <si>
    <t>Inferiore al 25%</t>
  </si>
  <si>
    <t>Totale di controllo errori</t>
  </si>
  <si>
    <t>Redditività complessiva del lavoro</t>
  </si>
  <si>
    <t>% giornate</t>
  </si>
  <si>
    <t>Test non superati</t>
  </si>
  <si>
    <t>Num. Errori</t>
  </si>
  <si>
    <t>Totale errori</t>
  </si>
  <si>
    <t>La quantità di materia prima acquistata non può superare la metà di quella trasformata</t>
  </si>
  <si>
    <t>si</t>
  </si>
  <si>
    <t>no</t>
  </si>
  <si>
    <t>Controlli su particolarità delle stime del lavoro</t>
  </si>
  <si>
    <t>Non è stato scelto il livello di automazione degli impianti</t>
  </si>
  <si>
    <t>Non sono indicati i giorni effettivi di esercizio dell'attività di trasformazione</t>
  </si>
  <si>
    <t>Prodotto ottenibile</t>
  </si>
  <si>
    <t>Solo Prodotto</t>
  </si>
  <si>
    <t>Valore con vendita</t>
  </si>
  <si>
    <t xml:space="preserve">La materia prima acquistata non può essere superiore al 50% del fatturato </t>
  </si>
  <si>
    <t>M</t>
  </si>
  <si>
    <t>F</t>
  </si>
  <si>
    <t>B&amp;B</t>
  </si>
  <si>
    <t>92</t>
  </si>
  <si>
    <t>4 - Altre</t>
  </si>
  <si>
    <t>UBA</t>
  </si>
  <si>
    <t>coeff</t>
  </si>
  <si>
    <t>tot UBA</t>
  </si>
  <si>
    <t>tot Alpeggio</t>
  </si>
  <si>
    <t>coeff UBA/ha</t>
  </si>
  <si>
    <t>Tabella UBA bovini</t>
  </si>
  <si>
    <t>Totale giornate lavorative</t>
  </si>
  <si>
    <t>Ristoro</t>
  </si>
  <si>
    <t>Mezza/Completa Pensione</t>
  </si>
  <si>
    <t>Alloggio e prima colazione</t>
  </si>
  <si>
    <t>Camera e prima colazione</t>
  </si>
  <si>
    <t>Messa/Completa Pensione</t>
  </si>
  <si>
    <t>Camera e prima locazione</t>
  </si>
  <si>
    <t>8638,03</t>
  </si>
  <si>
    <t>1274495</t>
  </si>
  <si>
    <t>3074,75</t>
  </si>
  <si>
    <t>505651</t>
  </si>
  <si>
    <t>3893,94</t>
  </si>
  <si>
    <t>spese trasf (netto di uva usata)</t>
  </si>
  <si>
    <t>cS    vino</t>
  </si>
  <si>
    <t>26</t>
  </si>
  <si>
    <t>OL. Olivo</t>
  </si>
  <si>
    <t>Castagno</t>
  </si>
  <si>
    <t>Olivo</t>
  </si>
  <si>
    <t>93</t>
  </si>
  <si>
    <t>94</t>
  </si>
  <si>
    <t>FGN. Frutta a guscio Noce</t>
  </si>
  <si>
    <t>FGC.Frutta a guscio Castagno</t>
  </si>
  <si>
    <t>FGX.Frutta a guscio Nocciolo</t>
  </si>
  <si>
    <t>2 - Colture</t>
  </si>
  <si>
    <t>Esito giornate lavorate</t>
  </si>
  <si>
    <t>13b</t>
  </si>
  <si>
    <t>PM2. Pascolo magro con tara 20%</t>
  </si>
  <si>
    <t>13c</t>
  </si>
  <si>
    <t>PM5. Pascolo magro con tara 50%</t>
  </si>
  <si>
    <t>PM2. Pascolo magro con tara 50%</t>
  </si>
  <si>
    <t>12b</t>
  </si>
  <si>
    <t>12c</t>
  </si>
  <si>
    <t>PF2. Pascolo fertile con tara 20%</t>
  </si>
  <si>
    <t>PF5. Pascolo fertile con tara 50%</t>
  </si>
  <si>
    <t>13d</t>
  </si>
  <si>
    <t>PMB. Pascolo magro boscato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</si>
</sst>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L.&quot;\ #,##0;\-&quot;L.&quot;\ #,##0"/>
    <numFmt numFmtId="181" formatCode="&quot;L.&quot;\ #,##0;[Red]\-&quot;L.&quot;\ #,##0"/>
    <numFmt numFmtId="182" formatCode="&quot;L.&quot;\ #,##0.00;\-&quot;L.&quot;\ #,##0.00"/>
    <numFmt numFmtId="183" formatCode="&quot;L.&quot;\ #,##0.00;[Red]\-&quot;L.&quot;\ #,##0.00"/>
    <numFmt numFmtId="184" formatCode="_-&quot;L.&quot;\ * #,##0_-;\-&quot;L.&quot;\ * #,##0_-;_-&quot;L.&quot;\ * &quot;-&quot;_-;_-@_-"/>
    <numFmt numFmtId="185" formatCode="_-&quot;L.&quot;\ * #,##0.00_-;\-&quot;L.&quot;\ * #,##0.00_-;_-&quot;L.&quot;\ * &quot;-&quot;??_-;_-@_-"/>
    <numFmt numFmtId="186" formatCode="_-* #,##0.0_-;\-* #,##0.0_-;_-* &quot;-&quot;_-;_-@_-"/>
    <numFmt numFmtId="187" formatCode="_-* #,##0.00_-;\-* #,##0.00_-;_-* &quot;-&quot;_-;_-@_-"/>
    <numFmt numFmtId="188" formatCode="_-* #,##0.0_-;\-* #,##0.0_-;_-* &quot;-&quot;??_-;_-@_-"/>
    <numFmt numFmtId="189" formatCode="_-* #,##0_-;\-* #,##0_-;_-* &quot;-&quot;??_-;_-@_-"/>
    <numFmt numFmtId="190" formatCode="#,##0.0"/>
    <numFmt numFmtId="191" formatCode="0.000"/>
    <numFmt numFmtId="192" formatCode="0.0"/>
    <numFmt numFmtId="193" formatCode="0.0000"/>
    <numFmt numFmtId="194" formatCode="_-* #,##0.000_-;\-* #,##0.000_-;_-* &quot;-&quot;_-;_-@_-"/>
    <numFmt numFmtId="195" formatCode="_-* #,##0.000_-;\-* #,##0.000_-;_-* &quot;-&quot;???_-;_-@_-"/>
    <numFmt numFmtId="196" formatCode="_-* #,##0.0_-;\-* #,##0.0_-;_-* &quot;-&quot;?_-;_-@_-"/>
    <numFmt numFmtId="197" formatCode="0.0%"/>
    <numFmt numFmtId="198" formatCode="_-* #,##0.0000_-;\-* #,##0.0000_-;_-* &quot;-&quot;_-;_-@_-"/>
    <numFmt numFmtId="199" formatCode="[$-410]dddd\ d\ mmmm\ yyyy"/>
    <numFmt numFmtId="200" formatCode="_-* #,##0.0000_-;\-* #,##0.0000_-;_-* &quot;-&quot;????_-;_-@_-"/>
    <numFmt numFmtId="201" formatCode="#,##0.000"/>
    <numFmt numFmtId="202" formatCode="0.0000000"/>
    <numFmt numFmtId="203" formatCode="0.000000"/>
    <numFmt numFmtId="204" formatCode="0.00000"/>
    <numFmt numFmtId="205" formatCode="#,##0.0000"/>
    <numFmt numFmtId="206" formatCode="#,##0.00000"/>
    <numFmt numFmtId="207" formatCode="_-[$€]\ * #,##0.00_-;\-[$€]\ * #,##0.00_-;_-[$€]\ * &quot;-&quot;??_-;_-@_-"/>
    <numFmt numFmtId="208" formatCode="&quot;Sì&quot;;&quot;Sì&quot;;&quot;No&quot;"/>
    <numFmt numFmtId="209" formatCode="&quot;Vero&quot;;&quot;Vero&quot;;&quot;Falso&quot;"/>
    <numFmt numFmtId="210" formatCode="&quot;Attivo&quot;;&quot;Attivo&quot;;&quot;Disattivo&quot;"/>
    <numFmt numFmtId="211" formatCode="[$€-2]\ #.##000_);[Red]\([$€-2]\ #.##000\)"/>
    <numFmt numFmtId="212" formatCode="#,##0.0000_ ;\-#,##0.0000\ "/>
    <numFmt numFmtId="213" formatCode="#,##0.000_ ;\-#,##0.000\ "/>
    <numFmt numFmtId="214" formatCode="#,##0.00_ ;\-#,##0.00\ "/>
    <numFmt numFmtId="215" formatCode="#,##0.0_ ;\-#,##0.0\ "/>
    <numFmt numFmtId="216" formatCode="#,##0_ ;\-#,##0\ "/>
  </numFmts>
  <fonts count="84">
    <font>
      <sz val="10"/>
      <name val="Arial"/>
      <family val="0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b/>
      <sz val="10"/>
      <name val="Arial"/>
      <family val="2"/>
    </font>
    <font>
      <b/>
      <vertAlign val="subscript"/>
      <sz val="10"/>
      <name val="Arial"/>
      <family val="2"/>
    </font>
    <font>
      <b/>
      <sz val="10"/>
      <color indexed="13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b/>
      <sz val="10"/>
      <color indexed="44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2"/>
      <name val="Arial"/>
      <family val="2"/>
    </font>
    <font>
      <sz val="10"/>
      <color indexed="55"/>
      <name val="Arial"/>
      <family val="2"/>
    </font>
    <font>
      <sz val="8"/>
      <name val="Arial"/>
      <family val="2"/>
    </font>
    <font>
      <b/>
      <sz val="12"/>
      <color indexed="17"/>
      <name val="Arial"/>
      <family val="2"/>
    </font>
    <font>
      <b/>
      <sz val="10"/>
      <color indexed="17"/>
      <name val="Arial"/>
      <family val="2"/>
    </font>
    <font>
      <b/>
      <sz val="10"/>
      <color indexed="16"/>
      <name val="Arial"/>
      <family val="2"/>
    </font>
    <font>
      <b/>
      <sz val="10"/>
      <color indexed="9"/>
      <name val="Arial"/>
      <family val="2"/>
    </font>
    <font>
      <b/>
      <sz val="8"/>
      <color indexed="12"/>
      <name val="Arial"/>
      <family val="2"/>
    </font>
    <font>
      <b/>
      <sz val="14"/>
      <color indexed="12"/>
      <name val="Arial"/>
      <family val="2"/>
    </font>
    <font>
      <b/>
      <i/>
      <sz val="10"/>
      <color indexed="12"/>
      <name val="Arial"/>
      <family val="2"/>
    </font>
    <font>
      <i/>
      <sz val="10"/>
      <color indexed="12"/>
      <name val="Arial"/>
      <family val="2"/>
    </font>
    <font>
      <b/>
      <sz val="10"/>
      <color indexed="60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u val="single"/>
      <sz val="10"/>
      <color indexed="36"/>
      <name val="Arial"/>
      <family val="2"/>
    </font>
    <font>
      <b/>
      <sz val="12"/>
      <name val="Arial Black"/>
      <family val="2"/>
    </font>
    <font>
      <b/>
      <sz val="12"/>
      <color indexed="12"/>
      <name val="Arial Black"/>
      <family val="2"/>
    </font>
    <font>
      <b/>
      <sz val="11"/>
      <color indexed="12"/>
      <name val="Arial Black"/>
      <family val="2"/>
    </font>
    <font>
      <b/>
      <sz val="7"/>
      <name val="Arial"/>
      <family val="2"/>
    </font>
    <font>
      <b/>
      <sz val="11"/>
      <name val="Arial"/>
      <family val="2"/>
    </font>
    <font>
      <b/>
      <sz val="12"/>
      <color indexed="60"/>
      <name val="Arial"/>
      <family val="2"/>
    </font>
    <font>
      <b/>
      <sz val="9"/>
      <color indexed="17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sz val="10"/>
      <color indexed="10"/>
      <name val="Arial"/>
      <family val="2"/>
    </font>
    <font>
      <sz val="12"/>
      <color indexed="12"/>
      <name val="Arial Black"/>
      <family val="2"/>
    </font>
    <font>
      <b/>
      <sz val="8"/>
      <color indexed="17"/>
      <name val="Arial"/>
      <family val="2"/>
    </font>
    <font>
      <b/>
      <sz val="6"/>
      <color indexed="17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13"/>
      <color indexed="12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color indexed="9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Black"/>
      <family val="0"/>
    </font>
    <font>
      <b/>
      <sz val="8"/>
      <color indexed="8"/>
      <name val="Arial"/>
      <family val="0"/>
    </font>
    <font>
      <b/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</fills>
  <borders count="1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52"/>
      </left>
      <right>
        <color indexed="63"/>
      </right>
      <top style="thin">
        <color indexed="52"/>
      </top>
      <bottom style="thin">
        <color indexed="52"/>
      </bottom>
    </border>
    <border>
      <left style="thin">
        <color indexed="52"/>
      </left>
      <right style="medium">
        <color indexed="52"/>
      </right>
      <top style="thin">
        <color indexed="52"/>
      </top>
      <bottom style="medium">
        <color indexed="52"/>
      </bottom>
    </border>
    <border>
      <left>
        <color indexed="63"/>
      </left>
      <right>
        <color indexed="63"/>
      </right>
      <top style="thin">
        <color indexed="52"/>
      </top>
      <bottom style="thin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55"/>
      </left>
      <right style="medium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 style="medium">
        <color indexed="55"/>
      </top>
      <bottom>
        <color indexed="63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55"/>
      </bottom>
    </border>
    <border>
      <left style="thin">
        <color indexed="55"/>
      </left>
      <right style="medium">
        <color indexed="55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53"/>
      </left>
      <right style="medium">
        <color indexed="53"/>
      </right>
      <top style="thin">
        <color indexed="53"/>
      </top>
      <bottom style="medium">
        <color indexed="53"/>
      </bottom>
    </border>
    <border>
      <left>
        <color indexed="63"/>
      </left>
      <right style="thin">
        <color indexed="52"/>
      </right>
      <top style="thin">
        <color indexed="52"/>
      </top>
      <bottom style="thin">
        <color indexed="52"/>
      </bottom>
    </border>
    <border>
      <left>
        <color indexed="63"/>
      </left>
      <right>
        <color indexed="63"/>
      </right>
      <top style="thin">
        <color indexed="52"/>
      </top>
      <bottom>
        <color indexed="63"/>
      </bottom>
    </border>
    <border>
      <left>
        <color indexed="63"/>
      </left>
      <right style="thin">
        <color indexed="52"/>
      </right>
      <top>
        <color indexed="63"/>
      </top>
      <bottom>
        <color indexed="63"/>
      </bottom>
    </border>
    <border>
      <left style="thin">
        <color indexed="52"/>
      </left>
      <right>
        <color indexed="63"/>
      </right>
      <top>
        <color indexed="63"/>
      </top>
      <bottom style="thin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 style="medium">
        <color indexed="55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>
        <color indexed="55"/>
      </right>
      <top style="thin"/>
      <bottom style="thin"/>
    </border>
    <border>
      <left>
        <color indexed="63"/>
      </left>
      <right style="medium">
        <color indexed="55"/>
      </right>
      <top style="thin"/>
      <bottom style="thin">
        <color indexed="55"/>
      </bottom>
    </border>
    <border>
      <left style="thin">
        <color indexed="52"/>
      </left>
      <right style="thin">
        <color indexed="52"/>
      </right>
      <top>
        <color indexed="63"/>
      </top>
      <bottom style="thin">
        <color indexed="52"/>
      </bottom>
    </border>
    <border>
      <left style="thin">
        <color indexed="5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3"/>
      </right>
      <top style="thin">
        <color indexed="52"/>
      </top>
      <bottom style="thin">
        <color indexed="52"/>
      </bottom>
    </border>
    <border>
      <left style="medium">
        <color indexed="5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>
        <color indexed="52"/>
      </right>
      <top style="thin">
        <color indexed="52"/>
      </top>
      <bottom>
        <color indexed="63"/>
      </bottom>
    </border>
    <border>
      <left>
        <color indexed="63"/>
      </left>
      <right style="thin">
        <color indexed="52"/>
      </right>
      <top>
        <color indexed="63"/>
      </top>
      <bottom style="thin">
        <color indexed="52"/>
      </bottom>
    </border>
    <border>
      <left style="thin">
        <color indexed="52"/>
      </left>
      <right>
        <color indexed="63"/>
      </right>
      <top style="thin">
        <color indexed="52"/>
      </top>
      <bottom>
        <color indexed="63"/>
      </bottom>
    </border>
    <border>
      <left style="thin">
        <color indexed="52"/>
      </left>
      <right>
        <color indexed="63"/>
      </right>
      <top style="thin">
        <color indexed="52"/>
      </top>
      <bottom style="medium">
        <color indexed="52"/>
      </bottom>
    </border>
    <border>
      <left>
        <color indexed="63"/>
      </left>
      <right>
        <color indexed="63"/>
      </right>
      <top style="thin">
        <color indexed="52"/>
      </top>
      <bottom style="medium">
        <color indexed="52"/>
      </bottom>
    </border>
    <border>
      <left>
        <color indexed="63"/>
      </left>
      <right style="medium">
        <color indexed="52"/>
      </right>
      <top style="thin">
        <color indexed="52"/>
      </top>
      <bottom style="medium">
        <color indexed="52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medium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medium">
        <color indexed="55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 style="medium">
        <color indexed="55"/>
      </right>
      <top style="thin"/>
      <bottom style="thin"/>
    </border>
    <border>
      <left style="thin">
        <color indexed="55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55"/>
      </right>
      <top style="thin"/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9" fillId="20" borderId="1" applyNumberFormat="0" applyAlignment="0" applyProtection="0"/>
    <xf numFmtId="0" fontId="70" fillId="0" borderId="2" applyNumberFormat="0" applyFill="0" applyAlignment="0" applyProtection="0"/>
    <xf numFmtId="0" fontId="71" fillId="21" borderId="3" applyNumberFormat="0" applyAlignment="0" applyProtection="0"/>
    <xf numFmtId="0" fontId="2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8" fillId="26" borderId="0" applyNumberFormat="0" applyBorder="0" applyAlignment="0" applyProtection="0"/>
    <xf numFmtId="0" fontId="68" fillId="27" borderId="0" applyNumberFormat="0" applyBorder="0" applyAlignment="0" applyProtection="0"/>
    <xf numFmtId="207" fontId="0" fillId="0" borderId="0" applyFont="0" applyFill="0" applyBorder="0" applyAlignment="0" applyProtection="0"/>
    <xf numFmtId="0" fontId="72" fillId="28" borderId="1" applyNumberFormat="0" applyAlignment="0" applyProtection="0"/>
    <xf numFmtId="171" fontId="0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3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74" fillId="20" borderId="5" applyNumberFormat="0" applyAlignment="0" applyProtection="0"/>
    <xf numFmtId="9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6" applyNumberFormat="0" applyFill="0" applyAlignment="0" applyProtection="0"/>
    <xf numFmtId="0" fontId="79" fillId="0" borderId="7" applyNumberFormat="0" applyFill="0" applyAlignment="0" applyProtection="0"/>
    <xf numFmtId="0" fontId="80" fillId="0" borderId="8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9" applyNumberFormat="0" applyFill="0" applyAlignment="0" applyProtection="0"/>
    <xf numFmtId="0" fontId="82" fillId="31" borderId="0" applyNumberFormat="0" applyBorder="0" applyAlignment="0" applyProtection="0"/>
    <xf numFmtId="0" fontId="83" fillId="32" borderId="0" applyNumberFormat="0" applyBorder="0" applyAlignment="0" applyProtection="0"/>
    <xf numFmtId="185" fontId="0" fillId="0" borderId="0" applyFont="0" applyFill="0" applyBorder="0" applyAlignment="0" applyProtection="0"/>
    <xf numFmtId="168" fontId="2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697">
    <xf numFmtId="0" fontId="0" fillId="0" borderId="0" xfId="0" applyAlignment="1">
      <alignment/>
    </xf>
    <xf numFmtId="0" fontId="1" fillId="33" borderId="10" xfId="53" applyFont="1" applyFill="1" applyBorder="1" applyAlignment="1">
      <alignment horizontal="center"/>
      <protection/>
    </xf>
    <xf numFmtId="0" fontId="1" fillId="0" borderId="11" xfId="53" applyFont="1" applyFill="1" applyBorder="1" applyAlignment="1">
      <alignment horizontal="left"/>
      <protection/>
    </xf>
    <xf numFmtId="0" fontId="1" fillId="33" borderId="10" xfId="54" applyFont="1" applyFill="1" applyBorder="1" applyAlignment="1">
      <alignment horizontal="center"/>
      <protection/>
    </xf>
    <xf numFmtId="0" fontId="1" fillId="0" borderId="11" xfId="54" applyFont="1" applyFill="1" applyBorder="1" applyAlignment="1">
      <alignment horizontal="left" wrapText="1"/>
      <protection/>
    </xf>
    <xf numFmtId="0" fontId="1" fillId="0" borderId="11" xfId="54" applyFont="1" applyFill="1" applyBorder="1" applyAlignment="1">
      <alignment horizontal="right" wrapText="1"/>
      <protection/>
    </xf>
    <xf numFmtId="0" fontId="1" fillId="33" borderId="10" xfId="50" applyFont="1" applyFill="1" applyBorder="1" applyAlignment="1">
      <alignment horizontal="center"/>
      <protection/>
    </xf>
    <xf numFmtId="0" fontId="3" fillId="0" borderId="0" xfId="0" applyFont="1" applyAlignment="1">
      <alignment horizontal="center"/>
    </xf>
    <xf numFmtId="169" fontId="0" fillId="0" borderId="0" xfId="48" applyFont="1" applyAlignment="1">
      <alignment/>
    </xf>
    <xf numFmtId="186" fontId="0" fillId="0" borderId="0" xfId="48" applyNumberFormat="1" applyFont="1" applyAlignment="1">
      <alignment/>
    </xf>
    <xf numFmtId="187" fontId="0" fillId="0" borderId="0" xfId="48" applyNumberFormat="1" applyFont="1" applyAlignment="1">
      <alignment/>
    </xf>
    <xf numFmtId="0" fontId="1" fillId="0" borderId="11" xfId="54" applyFont="1" applyFill="1" applyBorder="1" applyAlignment="1">
      <alignment horizontal="left"/>
      <protection/>
    </xf>
    <xf numFmtId="2" fontId="1" fillId="0" borderId="11" xfId="54" applyNumberFormat="1" applyFont="1" applyFill="1" applyBorder="1" applyAlignment="1">
      <alignment horizontal="right"/>
      <protection/>
    </xf>
    <xf numFmtId="4" fontId="1" fillId="0" borderId="11" xfId="54" applyNumberFormat="1" applyFont="1" applyFill="1" applyBorder="1" applyAlignment="1">
      <alignment horizontal="right"/>
      <protection/>
    </xf>
    <xf numFmtId="190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3" fillId="0" borderId="12" xfId="0" applyFont="1" applyBorder="1" applyAlignment="1">
      <alignment horizontal="center"/>
    </xf>
    <xf numFmtId="0" fontId="5" fillId="0" borderId="0" xfId="0" applyFont="1" applyFill="1" applyAlignment="1">
      <alignment/>
    </xf>
    <xf numFmtId="0" fontId="6" fillId="34" borderId="0" xfId="0" applyFont="1" applyFill="1" applyAlignment="1">
      <alignment/>
    </xf>
    <xf numFmtId="187" fontId="1" fillId="0" borderId="0" xfId="48" applyNumberFormat="1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Alignment="1">
      <alignment/>
    </xf>
    <xf numFmtId="0" fontId="1" fillId="33" borderId="13" xfId="54" applyFont="1" applyFill="1" applyBorder="1" applyAlignment="1">
      <alignment horizontal="center"/>
      <protection/>
    </xf>
    <xf numFmtId="0" fontId="1" fillId="33" borderId="12" xfId="54" applyFont="1" applyFill="1" applyBorder="1" applyAlignment="1">
      <alignment horizontal="center"/>
      <protection/>
    </xf>
    <xf numFmtId="0" fontId="1" fillId="0" borderId="12" xfId="51" applyFont="1" applyFill="1" applyBorder="1" applyAlignment="1">
      <alignment horizontal="right"/>
      <protection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1" fillId="33" borderId="13" xfId="54" applyFont="1" applyFill="1" applyBorder="1" applyAlignment="1">
      <alignment horizontal="left"/>
      <protection/>
    </xf>
    <xf numFmtId="0" fontId="1" fillId="33" borderId="12" xfId="54" applyFont="1" applyFill="1" applyBorder="1" applyAlignment="1">
      <alignment horizontal="left"/>
      <protection/>
    </xf>
    <xf numFmtId="0" fontId="1" fillId="33" borderId="17" xfId="54" applyFont="1" applyFill="1" applyBorder="1" applyAlignment="1">
      <alignment horizontal="center"/>
      <protection/>
    </xf>
    <xf numFmtId="0" fontId="1" fillId="33" borderId="18" xfId="54" applyFont="1" applyFill="1" applyBorder="1" applyAlignment="1">
      <alignment horizontal="left"/>
      <protection/>
    </xf>
    <xf numFmtId="194" fontId="0" fillId="0" borderId="12" xfId="0" applyNumberFormat="1" applyBorder="1" applyAlignment="1">
      <alignment/>
    </xf>
    <xf numFmtId="0" fontId="0" fillId="35" borderId="19" xfId="0" applyFill="1" applyBorder="1" applyAlignment="1">
      <alignment/>
    </xf>
    <xf numFmtId="0" fontId="1" fillId="33" borderId="20" xfId="54" applyFont="1" applyFill="1" applyBorder="1" applyAlignment="1">
      <alignment horizontal="center"/>
      <protection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1" fillId="33" borderId="23" xfId="54" applyFont="1" applyFill="1" applyBorder="1" applyAlignment="1">
      <alignment horizontal="center"/>
      <protection/>
    </xf>
    <xf numFmtId="0" fontId="0" fillId="0" borderId="21" xfId="0" applyBorder="1" applyAlignment="1">
      <alignment/>
    </xf>
    <xf numFmtId="0" fontId="0" fillId="0" borderId="24" xfId="0" applyBorder="1" applyAlignment="1">
      <alignment/>
    </xf>
    <xf numFmtId="0" fontId="1" fillId="33" borderId="25" xfId="54" applyFont="1" applyFill="1" applyBorder="1" applyAlignment="1">
      <alignment horizontal="left"/>
      <protection/>
    </xf>
    <xf numFmtId="0" fontId="1" fillId="0" borderId="26" xfId="51" applyFont="1" applyFill="1" applyBorder="1" applyAlignment="1">
      <alignment horizontal="right"/>
      <protection/>
    </xf>
    <xf numFmtId="0" fontId="0" fillId="35" borderId="27" xfId="0" applyFill="1" applyBorder="1" applyAlignment="1">
      <alignment/>
    </xf>
    <xf numFmtId="0" fontId="0" fillId="0" borderId="22" xfId="0" applyBorder="1" applyAlignment="1">
      <alignment/>
    </xf>
    <xf numFmtId="0" fontId="1" fillId="33" borderId="28" xfId="54" applyFont="1" applyFill="1" applyBorder="1" applyAlignment="1">
      <alignment horizontal="center"/>
      <protection/>
    </xf>
    <xf numFmtId="0" fontId="1" fillId="33" borderId="29" xfId="54" applyFont="1" applyFill="1" applyBorder="1" applyAlignment="1">
      <alignment horizontal="left"/>
      <protection/>
    </xf>
    <xf numFmtId="0" fontId="0" fillId="0" borderId="27" xfId="0" applyBorder="1" applyAlignment="1">
      <alignment horizontal="center"/>
    </xf>
    <xf numFmtId="0" fontId="0" fillId="0" borderId="30" xfId="0" applyBorder="1" applyAlignment="1">
      <alignment/>
    </xf>
    <xf numFmtId="0" fontId="1" fillId="33" borderId="31" xfId="54" applyFont="1" applyFill="1" applyBorder="1" applyAlignment="1">
      <alignment horizontal="center"/>
      <protection/>
    </xf>
    <xf numFmtId="0" fontId="1" fillId="33" borderId="32" xfId="54" applyFont="1" applyFill="1" applyBorder="1" applyAlignment="1">
      <alignment horizontal="center"/>
      <protection/>
    </xf>
    <xf numFmtId="169" fontId="0" fillId="0" borderId="12" xfId="48" applyNumberFormat="1" applyFont="1" applyFill="1" applyBorder="1" applyAlignment="1">
      <alignment/>
    </xf>
    <xf numFmtId="186" fontId="6" fillId="34" borderId="12" xfId="0" applyNumberFormat="1" applyFont="1" applyFill="1" applyBorder="1" applyAlignment="1">
      <alignment/>
    </xf>
    <xf numFmtId="190" fontId="0" fillId="33" borderId="0" xfId="0" applyNumberFormat="1" applyFill="1" applyAlignment="1">
      <alignment/>
    </xf>
    <xf numFmtId="4" fontId="0" fillId="33" borderId="0" xfId="0" applyNumberFormat="1" applyFill="1" applyAlignment="1">
      <alignment/>
    </xf>
    <xf numFmtId="186" fontId="0" fillId="33" borderId="0" xfId="48" applyNumberFormat="1" applyFont="1" applyFill="1" applyAlignment="1">
      <alignment/>
    </xf>
    <xf numFmtId="0" fontId="0" fillId="0" borderId="0" xfId="0" applyAlignment="1" applyProtection="1">
      <alignment/>
      <protection/>
    </xf>
    <xf numFmtId="169" fontId="0" fillId="0" borderId="0" xfId="48" applyFont="1" applyAlignment="1" applyProtection="1">
      <alignment/>
      <protection/>
    </xf>
    <xf numFmtId="187" fontId="0" fillId="0" borderId="0" xfId="48" applyNumberFormat="1" applyFont="1" applyAlignment="1" applyProtection="1">
      <alignment/>
      <protection/>
    </xf>
    <xf numFmtId="187" fontId="0" fillId="0" borderId="12" xfId="48" applyNumberFormat="1" applyFont="1" applyFill="1" applyBorder="1" applyAlignment="1">
      <alignment horizontal="right"/>
    </xf>
    <xf numFmtId="187" fontId="0" fillId="0" borderId="31" xfId="0" applyNumberFormat="1" applyBorder="1" applyAlignment="1">
      <alignment/>
    </xf>
    <xf numFmtId="187" fontId="6" fillId="34" borderId="12" xfId="0" applyNumberFormat="1" applyFont="1" applyFill="1" applyBorder="1" applyAlignment="1">
      <alignment/>
    </xf>
    <xf numFmtId="187" fontId="6" fillId="0" borderId="0" xfId="0" applyNumberFormat="1" applyFont="1" applyFill="1" applyBorder="1" applyAlignment="1">
      <alignment/>
    </xf>
    <xf numFmtId="187" fontId="6" fillId="34" borderId="0" xfId="0" applyNumberFormat="1" applyFont="1" applyFill="1" applyAlignment="1">
      <alignment/>
    </xf>
    <xf numFmtId="187" fontId="5" fillId="0" borderId="0" xfId="0" applyNumberFormat="1" applyFont="1" applyFill="1" applyAlignment="1">
      <alignment/>
    </xf>
    <xf numFmtId="187" fontId="0" fillId="0" borderId="0" xfId="0" applyNumberFormat="1" applyAlignment="1">
      <alignment/>
    </xf>
    <xf numFmtId="187" fontId="6" fillId="34" borderId="12" xfId="48" applyNumberFormat="1" applyFont="1" applyFill="1" applyBorder="1" applyAlignment="1">
      <alignment/>
    </xf>
    <xf numFmtId="0" fontId="0" fillId="0" borderId="33" xfId="0" applyBorder="1" applyAlignment="1">
      <alignment/>
    </xf>
    <xf numFmtId="169" fontId="6" fillId="0" borderId="33" xfId="0" applyNumberFormat="1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49" fontId="3" fillId="0" borderId="34" xfId="0" applyNumberFormat="1" applyFont="1" applyBorder="1" applyAlignment="1">
      <alignment horizontal="center"/>
    </xf>
    <xf numFmtId="0" fontId="0" fillId="0" borderId="35" xfId="0" applyBorder="1" applyAlignment="1">
      <alignment/>
    </xf>
    <xf numFmtId="169" fontId="6" fillId="0" borderId="35" xfId="0" applyNumberFormat="1" applyFont="1" applyFill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11" fillId="0" borderId="36" xfId="0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169" fontId="12" fillId="0" borderId="0" xfId="48" applyFont="1" applyFill="1" applyBorder="1" applyAlignment="1" applyProtection="1">
      <alignment/>
      <protection hidden="1"/>
    </xf>
    <xf numFmtId="187" fontId="12" fillId="0" borderId="0" xfId="48" applyNumberFormat="1" applyFont="1" applyFill="1" applyBorder="1" applyAlignment="1" applyProtection="1">
      <alignment/>
      <protection hidden="1"/>
    </xf>
    <xf numFmtId="187" fontId="12" fillId="0" borderId="0" xfId="0" applyNumberFormat="1" applyFont="1" applyFill="1" applyBorder="1" applyAlignment="1" applyProtection="1">
      <alignment/>
      <protection hidden="1"/>
    </xf>
    <xf numFmtId="49" fontId="0" fillId="0" borderId="0" xfId="0" applyNumberFormat="1" applyAlignment="1">
      <alignment horizontal="center"/>
    </xf>
    <xf numFmtId="49" fontId="0" fillId="0" borderId="37" xfId="0" applyNumberFormat="1" applyBorder="1" applyAlignment="1">
      <alignment horizontal="center"/>
    </xf>
    <xf numFmtId="49" fontId="6" fillId="0" borderId="37" xfId="0" applyNumberFormat="1" applyFont="1" applyFill="1" applyBorder="1" applyAlignment="1">
      <alignment horizontal="center"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24" fillId="0" borderId="0" xfId="0" applyFont="1" applyAlignment="1">
      <alignment/>
    </xf>
    <xf numFmtId="0" fontId="0" fillId="36" borderId="0" xfId="0" applyFill="1" applyAlignment="1">
      <alignment/>
    </xf>
    <xf numFmtId="0" fontId="19" fillId="36" borderId="0" xfId="0" applyFont="1" applyFill="1" applyAlignment="1">
      <alignment/>
    </xf>
    <xf numFmtId="0" fontId="20" fillId="36" borderId="0" xfId="0" applyFont="1" applyFill="1" applyAlignment="1">
      <alignment/>
    </xf>
    <xf numFmtId="0" fontId="0" fillId="36" borderId="0" xfId="0" applyFill="1" applyBorder="1" applyAlignment="1">
      <alignment/>
    </xf>
    <xf numFmtId="0" fontId="20" fillId="36" borderId="0" xfId="0" applyFont="1" applyFill="1" applyAlignment="1">
      <alignment/>
    </xf>
    <xf numFmtId="0" fontId="21" fillId="36" borderId="0" xfId="0" applyFont="1" applyFill="1" applyAlignment="1">
      <alignment/>
    </xf>
    <xf numFmtId="0" fontId="18" fillId="37" borderId="0" xfId="0" applyFont="1" applyFill="1" applyAlignment="1">
      <alignment/>
    </xf>
    <xf numFmtId="0" fontId="19" fillId="37" borderId="0" xfId="0" applyFont="1" applyFill="1" applyAlignment="1">
      <alignment/>
    </xf>
    <xf numFmtId="0" fontId="0" fillId="37" borderId="0" xfId="0" applyFill="1" applyAlignment="1">
      <alignment/>
    </xf>
    <xf numFmtId="0" fontId="3" fillId="37" borderId="0" xfId="0" applyFont="1" applyFill="1" applyAlignment="1">
      <alignment/>
    </xf>
    <xf numFmtId="0" fontId="3" fillId="37" borderId="0" xfId="0" applyFont="1" applyFill="1" applyBorder="1" applyAlignment="1">
      <alignment/>
    </xf>
    <xf numFmtId="0" fontId="3" fillId="37" borderId="0" xfId="0" applyFont="1" applyFill="1" applyBorder="1" applyAlignment="1">
      <alignment horizontal="left"/>
    </xf>
    <xf numFmtId="0" fontId="0" fillId="37" borderId="0" xfId="0" applyFill="1" applyBorder="1" applyAlignment="1">
      <alignment/>
    </xf>
    <xf numFmtId="0" fontId="3" fillId="37" borderId="0" xfId="0" applyFont="1" applyFill="1" applyAlignment="1">
      <alignment/>
    </xf>
    <xf numFmtId="0" fontId="3" fillId="37" borderId="0" xfId="0" applyFont="1" applyFill="1" applyAlignment="1">
      <alignment horizontal="left" indent="1"/>
    </xf>
    <xf numFmtId="0" fontId="20" fillId="37" borderId="0" xfId="0" applyFont="1" applyFill="1" applyAlignment="1">
      <alignment/>
    </xf>
    <xf numFmtId="0" fontId="20" fillId="37" borderId="0" xfId="0" applyFont="1" applyFill="1" applyAlignment="1">
      <alignment/>
    </xf>
    <xf numFmtId="0" fontId="20" fillId="37" borderId="0" xfId="0" applyFont="1" applyFill="1" applyBorder="1" applyAlignment="1">
      <alignment/>
    </xf>
    <xf numFmtId="0" fontId="21" fillId="37" borderId="0" xfId="0" applyFont="1" applyFill="1" applyAlignment="1">
      <alignment/>
    </xf>
    <xf numFmtId="0" fontId="10" fillId="37" borderId="0" xfId="0" applyFont="1" applyFill="1" applyAlignment="1">
      <alignment/>
    </xf>
    <xf numFmtId="0" fontId="27" fillId="0" borderId="0" xfId="0" applyFont="1" applyAlignment="1">
      <alignment vertical="center"/>
    </xf>
    <xf numFmtId="0" fontId="28" fillId="0" borderId="0" xfId="0" applyFont="1" applyAlignment="1">
      <alignment/>
    </xf>
    <xf numFmtId="0" fontId="22" fillId="0" borderId="0" xfId="0" applyFont="1" applyAlignment="1">
      <alignment/>
    </xf>
    <xf numFmtId="0" fontId="11" fillId="0" borderId="0" xfId="0" applyFont="1" applyBorder="1" applyAlignment="1" applyProtection="1">
      <alignment/>
      <protection locked="0"/>
    </xf>
    <xf numFmtId="0" fontId="16" fillId="0" borderId="0" xfId="0" applyFont="1" applyFill="1" applyBorder="1" applyAlignment="1">
      <alignment/>
    </xf>
    <xf numFmtId="0" fontId="15" fillId="0" borderId="38" xfId="0" applyFont="1" applyBorder="1" applyAlignment="1">
      <alignment horizontal="center"/>
    </xf>
    <xf numFmtId="198" fontId="0" fillId="35" borderId="39" xfId="48" applyNumberFormat="1" applyFont="1" applyFill="1" applyBorder="1" applyAlignment="1" applyProtection="1">
      <alignment/>
      <protection locked="0"/>
    </xf>
    <xf numFmtId="49" fontId="15" fillId="0" borderId="40" xfId="0" applyNumberFormat="1" applyFont="1" applyBorder="1" applyAlignment="1">
      <alignment horizontal="center" vertical="center"/>
    </xf>
    <xf numFmtId="198" fontId="0" fillId="0" borderId="0" xfId="48" applyNumberFormat="1" applyFont="1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5" fillId="0" borderId="40" xfId="0" applyFont="1" applyFill="1" applyBorder="1" applyAlignment="1">
      <alignment horizontal="center"/>
    </xf>
    <xf numFmtId="0" fontId="15" fillId="0" borderId="40" xfId="0" applyFont="1" applyBorder="1" applyAlignment="1">
      <alignment horizontal="center"/>
    </xf>
    <xf numFmtId="187" fontId="0" fillId="35" borderId="39" xfId="48" applyNumberFormat="1" applyFont="1" applyFill="1" applyBorder="1" applyAlignment="1" applyProtection="1">
      <alignment/>
      <protection locked="0"/>
    </xf>
    <xf numFmtId="0" fontId="15" fillId="0" borderId="40" xfId="0" applyFont="1" applyBorder="1" applyAlignment="1">
      <alignment horizontal="left"/>
    </xf>
    <xf numFmtId="198" fontId="6" fillId="37" borderId="0" xfId="0" applyNumberFormat="1" applyFont="1" applyFill="1" applyBorder="1" applyAlignment="1">
      <alignment horizontal="center"/>
    </xf>
    <xf numFmtId="0" fontId="16" fillId="37" borderId="0" xfId="0" applyFont="1" applyFill="1" applyBorder="1" applyAlignment="1">
      <alignment horizontal="center"/>
    </xf>
    <xf numFmtId="0" fontId="16" fillId="37" borderId="0" xfId="0" applyFont="1" applyFill="1" applyBorder="1" applyAlignment="1">
      <alignment/>
    </xf>
    <xf numFmtId="49" fontId="15" fillId="36" borderId="0" xfId="0" applyNumberFormat="1" applyFont="1" applyFill="1" applyBorder="1" applyAlignment="1">
      <alignment horizontal="center" vertical="center"/>
    </xf>
    <xf numFmtId="198" fontId="6" fillId="36" borderId="0" xfId="0" applyNumberFormat="1" applyFont="1" applyFill="1" applyBorder="1" applyAlignment="1">
      <alignment horizontal="center"/>
    </xf>
    <xf numFmtId="0" fontId="0" fillId="38" borderId="0" xfId="0" applyFill="1" applyAlignment="1">
      <alignment/>
    </xf>
    <xf numFmtId="2" fontId="0" fillId="0" borderId="0" xfId="0" applyNumberFormat="1" applyAlignment="1">
      <alignment/>
    </xf>
    <xf numFmtId="0" fontId="3" fillId="0" borderId="12" xfId="0" applyFont="1" applyBorder="1" applyAlignment="1">
      <alignment/>
    </xf>
    <xf numFmtId="9" fontId="9" fillId="0" borderId="12" xfId="57" applyFont="1" applyFill="1" applyBorder="1" applyAlignment="1">
      <alignment/>
    </xf>
    <xf numFmtId="2" fontId="0" fillId="38" borderId="12" xfId="0" applyNumberFormat="1" applyFill="1" applyBorder="1" applyAlignment="1">
      <alignment/>
    </xf>
    <xf numFmtId="2" fontId="0" fillId="39" borderId="12" xfId="0" applyNumberFormat="1" applyFill="1" applyBorder="1" applyAlignment="1">
      <alignment/>
    </xf>
    <xf numFmtId="0" fontId="0" fillId="0" borderId="12" xfId="0" applyBorder="1" applyAlignment="1">
      <alignment/>
    </xf>
    <xf numFmtId="0" fontId="3" fillId="0" borderId="0" xfId="0" applyFont="1" applyAlignment="1">
      <alignment/>
    </xf>
    <xf numFmtId="0" fontId="0" fillId="0" borderId="4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42" xfId="0" applyBorder="1" applyAlignment="1">
      <alignment horizontal="center"/>
    </xf>
    <xf numFmtId="2" fontId="0" fillId="38" borderId="14" xfId="0" applyNumberFormat="1" applyFill="1" applyBorder="1" applyAlignment="1">
      <alignment/>
    </xf>
    <xf numFmtId="2" fontId="0" fillId="0" borderId="12" xfId="0" applyNumberFormat="1" applyBorder="1" applyAlignment="1">
      <alignment/>
    </xf>
    <xf numFmtId="191" fontId="0" fillId="38" borderId="16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191" fontId="0" fillId="0" borderId="0" xfId="0" applyNumberFormat="1" applyFill="1" applyBorder="1" applyAlignment="1">
      <alignment/>
    </xf>
    <xf numFmtId="9" fontId="0" fillId="39" borderId="12" xfId="57" applyFill="1" applyBorder="1" applyAlignment="1">
      <alignment/>
    </xf>
    <xf numFmtId="2" fontId="1" fillId="0" borderId="12" xfId="50" applyNumberFormat="1" applyFont="1" applyFill="1" applyBorder="1" applyAlignment="1">
      <alignment horizontal="right" wrapText="1"/>
      <protection/>
    </xf>
    <xf numFmtId="2" fontId="1" fillId="0" borderId="0" xfId="50" applyNumberFormat="1" applyFont="1" applyFill="1" applyBorder="1" applyAlignment="1">
      <alignment horizontal="right" wrapText="1"/>
      <protection/>
    </xf>
    <xf numFmtId="2" fontId="6" fillId="34" borderId="12" xfId="50" applyNumberFormat="1" applyFont="1" applyFill="1" applyBorder="1" applyAlignment="1">
      <alignment horizontal="right" wrapText="1"/>
      <protection/>
    </xf>
    <xf numFmtId="2" fontId="6" fillId="40" borderId="12" xfId="50" applyNumberFormat="1" applyFont="1" applyFill="1" applyBorder="1" applyAlignment="1">
      <alignment horizontal="right" wrapText="1"/>
      <protection/>
    </xf>
    <xf numFmtId="0" fontId="0" fillId="0" borderId="41" xfId="0" applyBorder="1" applyAlignment="1">
      <alignment horizontal="center"/>
    </xf>
    <xf numFmtId="191" fontId="0" fillId="38" borderId="12" xfId="0" applyNumberFormat="1" applyFill="1" applyBorder="1" applyAlignment="1">
      <alignment/>
    </xf>
    <xf numFmtId="0" fontId="0" fillId="39" borderId="12" xfId="0" applyFill="1" applyBorder="1" applyAlignment="1">
      <alignment/>
    </xf>
    <xf numFmtId="9" fontId="0" fillId="39" borderId="0" xfId="57" applyFill="1" applyBorder="1" applyAlignment="1">
      <alignment/>
    </xf>
    <xf numFmtId="0" fontId="0" fillId="38" borderId="12" xfId="0" applyFill="1" applyBorder="1" applyAlignment="1">
      <alignment/>
    </xf>
    <xf numFmtId="0" fontId="6" fillId="0" borderId="0" xfId="52" applyFont="1" applyFill="1" applyBorder="1" applyAlignment="1">
      <alignment wrapText="1"/>
      <protection/>
    </xf>
    <xf numFmtId="0" fontId="1" fillId="41" borderId="10" xfId="52" applyFont="1" applyFill="1" applyBorder="1" applyAlignment="1">
      <alignment horizontal="center" wrapText="1"/>
      <protection/>
    </xf>
    <xf numFmtId="0" fontId="1" fillId="41" borderId="43" xfId="52" applyFont="1" applyFill="1" applyBorder="1" applyAlignment="1">
      <alignment horizontal="center" wrapText="1"/>
      <protection/>
    </xf>
    <xf numFmtId="0" fontId="1" fillId="41" borderId="0" xfId="52" applyFont="1" applyFill="1" applyBorder="1" applyAlignment="1">
      <alignment horizontal="center" wrapText="1"/>
      <protection/>
    </xf>
    <xf numFmtId="0" fontId="0" fillId="0" borderId="0" xfId="0" applyAlignment="1">
      <alignment wrapText="1"/>
    </xf>
    <xf numFmtId="0" fontId="1" fillId="0" borderId="11" xfId="52" applyFont="1" applyFill="1" applyBorder="1" applyAlignment="1">
      <alignment horizontal="right" wrapText="1"/>
      <protection/>
    </xf>
    <xf numFmtId="0" fontId="9" fillId="0" borderId="0" xfId="0" applyFont="1" applyAlignment="1">
      <alignment/>
    </xf>
    <xf numFmtId="1" fontId="1" fillId="0" borderId="11" xfId="52" applyNumberFormat="1" applyFont="1" applyFill="1" applyBorder="1" applyAlignment="1">
      <alignment horizontal="right" wrapText="1"/>
      <protection/>
    </xf>
    <xf numFmtId="2" fontId="1" fillId="0" borderId="11" xfId="52" applyNumberFormat="1" applyFont="1" applyFill="1" applyBorder="1" applyAlignment="1">
      <alignment horizontal="right" wrapText="1"/>
      <protection/>
    </xf>
    <xf numFmtId="0" fontId="1" fillId="41" borderId="0" xfId="52" applyFont="1" applyFill="1" applyBorder="1" applyAlignment="1">
      <alignment horizontal="center"/>
      <protection/>
    </xf>
    <xf numFmtId="0" fontId="1" fillId="41" borderId="35" xfId="52" applyFont="1" applyFill="1" applyBorder="1" applyAlignment="1">
      <alignment horizontal="center" wrapText="1"/>
      <protection/>
    </xf>
    <xf numFmtId="0" fontId="1" fillId="0" borderId="0" xfId="52" applyFont="1" applyFill="1" applyBorder="1" applyAlignment="1">
      <alignment horizontal="right" wrapText="1"/>
      <protection/>
    </xf>
    <xf numFmtId="186" fontId="1" fillId="0" borderId="0" xfId="48" applyNumberFormat="1" applyFont="1" applyFill="1" applyAlignment="1">
      <alignment/>
    </xf>
    <xf numFmtId="186" fontId="0" fillId="0" borderId="0" xfId="0" applyNumberFormat="1" applyAlignment="1">
      <alignment/>
    </xf>
    <xf numFmtId="0" fontId="0" fillId="0" borderId="0" xfId="0" applyFill="1" applyBorder="1" applyAlignment="1" applyProtection="1" quotePrefix="1">
      <alignment horizontal="left" indent="1"/>
      <protection/>
    </xf>
    <xf numFmtId="10" fontId="0" fillId="0" borderId="0" xfId="57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187" fontId="3" fillId="0" borderId="0" xfId="48" applyNumberFormat="1" applyFont="1" applyFill="1" applyBorder="1" applyAlignment="1" applyProtection="1">
      <alignment/>
      <protection/>
    </xf>
    <xf numFmtId="10" fontId="3" fillId="0" borderId="0" xfId="57" applyNumberFormat="1" applyFont="1" applyFill="1" applyBorder="1" applyAlignment="1" applyProtection="1">
      <alignment/>
      <protection/>
    </xf>
    <xf numFmtId="187" fontId="0" fillId="0" borderId="0" xfId="48" applyNumberFormat="1" applyFont="1" applyFill="1" applyBorder="1" applyAlignment="1" applyProtection="1">
      <alignment/>
      <protection/>
    </xf>
    <xf numFmtId="0" fontId="9" fillId="0" borderId="0" xfId="0" applyFont="1" applyFill="1" applyAlignment="1">
      <alignment/>
    </xf>
    <xf numFmtId="187" fontId="0" fillId="34" borderId="44" xfId="48" applyNumberFormat="1" applyFont="1" applyFill="1" applyBorder="1" applyAlignment="1" applyProtection="1">
      <alignment/>
      <protection/>
    </xf>
    <xf numFmtId="187" fontId="0" fillId="34" borderId="45" xfId="48" applyNumberFormat="1" applyFont="1" applyFill="1" applyBorder="1" applyAlignment="1" applyProtection="1">
      <alignment/>
      <protection/>
    </xf>
    <xf numFmtId="10" fontId="0" fillId="34" borderId="44" xfId="57" applyNumberFormat="1" applyFont="1" applyFill="1" applyBorder="1" applyAlignment="1" applyProtection="1">
      <alignment/>
      <protection/>
    </xf>
    <xf numFmtId="10" fontId="0" fillId="34" borderId="45" xfId="57" applyNumberFormat="1" applyFont="1" applyFill="1" applyBorder="1" applyAlignment="1" applyProtection="1">
      <alignment/>
      <protection/>
    </xf>
    <xf numFmtId="10" fontId="7" fillId="34" borderId="46" xfId="57" applyNumberFormat="1" applyFont="1" applyFill="1" applyBorder="1" applyAlignment="1" applyProtection="1">
      <alignment/>
      <protection/>
    </xf>
    <xf numFmtId="10" fontId="0" fillId="0" borderId="47" xfId="57" applyNumberFormat="1" applyFont="1" applyFill="1" applyBorder="1" applyAlignment="1" applyProtection="1">
      <alignment/>
      <protection/>
    </xf>
    <xf numFmtId="10" fontId="0" fillId="34" borderId="48" xfId="57" applyNumberFormat="1" applyFont="1" applyFill="1" applyBorder="1" applyAlignment="1" applyProtection="1">
      <alignment/>
      <protection/>
    </xf>
    <xf numFmtId="187" fontId="3" fillId="34" borderId="48" xfId="48" applyNumberFormat="1" applyFont="1" applyFill="1" applyBorder="1" applyAlignment="1" applyProtection="1">
      <alignment/>
      <protection/>
    </xf>
    <xf numFmtId="10" fontId="3" fillId="34" borderId="48" xfId="57" applyNumberFormat="1" applyFont="1" applyFill="1" applyBorder="1" applyAlignment="1" applyProtection="1">
      <alignment/>
      <protection/>
    </xf>
    <xf numFmtId="187" fontId="0" fillId="34" borderId="48" xfId="48" applyNumberFormat="1" applyFont="1" applyFill="1" applyBorder="1" applyAlignment="1" applyProtection="1">
      <alignment/>
      <protection/>
    </xf>
    <xf numFmtId="10" fontId="0" fillId="34" borderId="48" xfId="57" applyNumberFormat="1" applyFont="1" applyFill="1" applyBorder="1" applyAlignment="1" applyProtection="1">
      <alignment/>
      <protection/>
    </xf>
    <xf numFmtId="186" fontId="0" fillId="34" borderId="44" xfId="48" applyNumberFormat="1" applyFont="1" applyFill="1" applyBorder="1" applyAlignment="1" applyProtection="1">
      <alignment/>
      <protection/>
    </xf>
    <xf numFmtId="186" fontId="0" fillId="34" borderId="45" xfId="48" applyNumberFormat="1" applyFont="1" applyFill="1" applyBorder="1" applyAlignment="1" applyProtection="1">
      <alignment/>
      <protection/>
    </xf>
    <xf numFmtId="10" fontId="0" fillId="34" borderId="46" xfId="57" applyNumberFormat="1" applyFont="1" applyFill="1" applyBorder="1" applyAlignment="1" applyProtection="1">
      <alignment/>
      <protection/>
    </xf>
    <xf numFmtId="187" fontId="7" fillId="34" borderId="46" xfId="48" applyNumberFormat="1" applyFont="1" applyFill="1" applyBorder="1" applyAlignment="1" applyProtection="1">
      <alignment/>
      <protection/>
    </xf>
    <xf numFmtId="0" fontId="3" fillId="34" borderId="48" xfId="0" applyFont="1" applyFill="1" applyBorder="1" applyAlignment="1" applyProtection="1">
      <alignment/>
      <protection/>
    </xf>
    <xf numFmtId="186" fontId="3" fillId="34" borderId="48" xfId="48" applyNumberFormat="1" applyFont="1" applyFill="1" applyBorder="1" applyAlignment="1" applyProtection="1">
      <alignment/>
      <protection/>
    </xf>
    <xf numFmtId="10" fontId="3" fillId="34" borderId="48" xfId="57" applyNumberFormat="1" applyFont="1" applyFill="1" applyBorder="1" applyAlignment="1" applyProtection="1">
      <alignment/>
      <protection/>
    </xf>
    <xf numFmtId="187" fontId="3" fillId="34" borderId="48" xfId="48" applyNumberFormat="1" applyFont="1" applyFill="1" applyBorder="1" applyAlignment="1" applyProtection="1">
      <alignment/>
      <protection/>
    </xf>
    <xf numFmtId="0" fontId="10" fillId="42" borderId="48" xfId="0" applyFont="1" applyFill="1" applyBorder="1" applyAlignment="1" applyProtection="1">
      <alignment/>
      <protection/>
    </xf>
    <xf numFmtId="0" fontId="9" fillId="33" borderId="14" xfId="0" applyFont="1" applyFill="1" applyBorder="1" applyAlignment="1" applyProtection="1">
      <alignment horizontal="left"/>
      <protection/>
    </xf>
    <xf numFmtId="0" fontId="10" fillId="43" borderId="48" xfId="0" applyFont="1" applyFill="1" applyBorder="1" applyAlignment="1" applyProtection="1">
      <alignment/>
      <protection/>
    </xf>
    <xf numFmtId="197" fontId="0" fillId="34" borderId="48" xfId="57" applyNumberFormat="1" applyFont="1" applyFill="1" applyBorder="1" applyAlignment="1">
      <alignment/>
    </xf>
    <xf numFmtId="0" fontId="34" fillId="33" borderId="14" xfId="0" applyFont="1" applyFill="1" applyBorder="1" applyAlignment="1" applyProtection="1">
      <alignment horizontal="center"/>
      <protection/>
    </xf>
    <xf numFmtId="0" fontId="0" fillId="43" borderId="49" xfId="0" applyFill="1" applyBorder="1" applyAlignment="1" applyProtection="1">
      <alignment/>
      <protection/>
    </xf>
    <xf numFmtId="0" fontId="0" fillId="43" borderId="45" xfId="0" applyFill="1" applyBorder="1" applyAlignment="1" applyProtection="1">
      <alignment/>
      <protection/>
    </xf>
    <xf numFmtId="0" fontId="0" fillId="43" borderId="45" xfId="0" applyFill="1" applyBorder="1" applyAlignment="1" applyProtection="1" quotePrefix="1">
      <alignment/>
      <protection/>
    </xf>
    <xf numFmtId="187" fontId="34" fillId="0" borderId="50" xfId="48" applyNumberFormat="1" applyFont="1" applyBorder="1" applyAlignment="1" applyProtection="1">
      <alignment/>
      <protection/>
    </xf>
    <xf numFmtId="0" fontId="33" fillId="42" borderId="48" xfId="0" applyFont="1" applyFill="1" applyBorder="1" applyAlignment="1" applyProtection="1">
      <alignment/>
      <protection/>
    </xf>
    <xf numFmtId="2" fontId="1" fillId="0" borderId="11" xfId="54" applyNumberFormat="1" applyFont="1" applyFill="1" applyBorder="1" applyAlignment="1">
      <alignment horizontal="right" wrapText="1"/>
      <protection/>
    </xf>
    <xf numFmtId="186" fontId="0" fillId="0" borderId="0" xfId="0" applyNumberFormat="1" applyFill="1" applyAlignment="1">
      <alignment/>
    </xf>
    <xf numFmtId="186" fontId="0" fillId="0" borderId="0" xfId="48" applyNumberFormat="1" applyFont="1" applyFill="1" applyAlignment="1">
      <alignment/>
    </xf>
    <xf numFmtId="4" fontId="0" fillId="0" borderId="0" xfId="0" applyNumberFormat="1" applyFill="1" applyAlignment="1">
      <alignment/>
    </xf>
    <xf numFmtId="190" fontId="0" fillId="0" borderId="0" xfId="0" applyNumberFormat="1" applyFill="1" applyAlignment="1">
      <alignment/>
    </xf>
    <xf numFmtId="187" fontId="0" fillId="0" borderId="0" xfId="48" applyNumberFormat="1" applyFont="1" applyFill="1" applyAlignment="1">
      <alignment/>
    </xf>
    <xf numFmtId="1" fontId="0" fillId="0" borderId="0" xfId="0" applyNumberFormat="1" applyAlignment="1">
      <alignment horizontal="center"/>
    </xf>
    <xf numFmtId="192" fontId="0" fillId="0" borderId="0" xfId="0" applyNumberFormat="1" applyAlignment="1">
      <alignment horizontal="center"/>
    </xf>
    <xf numFmtId="192" fontId="0" fillId="0" borderId="0" xfId="0" applyNumberFormat="1" applyFill="1" applyAlignment="1">
      <alignment horizontal="center"/>
    </xf>
    <xf numFmtId="0" fontId="9" fillId="0" borderId="0" xfId="0" applyFont="1" applyFill="1" applyBorder="1" applyAlignment="1">
      <alignment/>
    </xf>
    <xf numFmtId="1" fontId="0" fillId="0" borderId="0" xfId="0" applyNumberFormat="1" applyFill="1" applyBorder="1" applyAlignment="1">
      <alignment horizontal="center"/>
    </xf>
    <xf numFmtId="192" fontId="0" fillId="0" borderId="0" xfId="0" applyNumberFormat="1" applyFill="1" applyBorder="1" applyAlignment="1">
      <alignment horizontal="center"/>
    </xf>
    <xf numFmtId="0" fontId="0" fillId="0" borderId="51" xfId="0" applyFill="1" applyBorder="1" applyAlignment="1">
      <alignment/>
    </xf>
    <xf numFmtId="0" fontId="0" fillId="0" borderId="52" xfId="0" applyFill="1" applyBorder="1" applyAlignment="1">
      <alignment/>
    </xf>
    <xf numFmtId="0" fontId="0" fillId="33" borderId="0" xfId="0" applyFill="1" applyAlignment="1">
      <alignment/>
    </xf>
    <xf numFmtId="0" fontId="0" fillId="35" borderId="53" xfId="0" applyFill="1" applyBorder="1" applyAlignment="1" applyProtection="1">
      <alignment/>
      <protection locked="0"/>
    </xf>
    <xf numFmtId="0" fontId="0" fillId="44" borderId="0" xfId="0" applyFill="1" applyAlignment="1">
      <alignment/>
    </xf>
    <xf numFmtId="49" fontId="15" fillId="44" borderId="0" xfId="0" applyNumberFormat="1" applyFont="1" applyFill="1" applyBorder="1" applyAlignment="1">
      <alignment horizontal="center" vertical="center"/>
    </xf>
    <xf numFmtId="49" fontId="15" fillId="44" borderId="0" xfId="0" applyNumberFormat="1" applyFont="1" applyFill="1" applyBorder="1" applyAlignment="1">
      <alignment vertical="center"/>
    </xf>
    <xf numFmtId="201" fontId="0" fillId="0" borderId="0" xfId="0" applyNumberFormat="1" applyAlignment="1">
      <alignment/>
    </xf>
    <xf numFmtId="49" fontId="15" fillId="44" borderId="0" xfId="0" applyNumberFormat="1" applyFont="1" applyFill="1" applyBorder="1" applyAlignment="1">
      <alignment horizontal="left" vertical="center"/>
    </xf>
    <xf numFmtId="0" fontId="0" fillId="44" borderId="0" xfId="0" applyFill="1" applyAlignment="1">
      <alignment horizontal="left"/>
    </xf>
    <xf numFmtId="0" fontId="3" fillId="44" borderId="0" xfId="0" applyFont="1" applyFill="1" applyAlignment="1">
      <alignment/>
    </xf>
    <xf numFmtId="192" fontId="0" fillId="44" borderId="0" xfId="0" applyNumberFormat="1" applyFill="1" applyAlignment="1">
      <alignment horizontal="right"/>
    </xf>
    <xf numFmtId="0" fontId="30" fillId="44" borderId="0" xfId="0" applyFont="1" applyFill="1" applyBorder="1" applyAlignment="1" applyProtection="1">
      <alignment vertical="center"/>
      <protection/>
    </xf>
    <xf numFmtId="49" fontId="15" fillId="44" borderId="38" xfId="0" applyNumberFormat="1" applyFont="1" applyFill="1" applyBorder="1" applyAlignment="1">
      <alignment horizontal="left" vertical="center"/>
    </xf>
    <xf numFmtId="49" fontId="15" fillId="44" borderId="40" xfId="0" applyNumberFormat="1" applyFont="1" applyFill="1" applyBorder="1" applyAlignment="1">
      <alignment horizontal="left" vertical="center"/>
    </xf>
    <xf numFmtId="49" fontId="15" fillId="44" borderId="54" xfId="0" applyNumberFormat="1" applyFont="1" applyFill="1" applyBorder="1" applyAlignment="1">
      <alignment horizontal="left" vertical="center"/>
    </xf>
    <xf numFmtId="0" fontId="0" fillId="44" borderId="0" xfId="0" applyFill="1" applyBorder="1" applyAlignment="1">
      <alignment/>
    </xf>
    <xf numFmtId="49" fontId="15" fillId="44" borderId="55" xfId="0" applyNumberFormat="1" applyFont="1" applyFill="1" applyBorder="1" applyAlignment="1">
      <alignment horizontal="center" vertical="center"/>
    </xf>
    <xf numFmtId="49" fontId="15" fillId="44" borderId="56" xfId="0" applyNumberFormat="1" applyFont="1" applyFill="1" applyBorder="1" applyAlignment="1">
      <alignment vertical="center"/>
    </xf>
    <xf numFmtId="189" fontId="0" fillId="44" borderId="0" xfId="46" applyNumberFormat="1" applyFont="1" applyFill="1" applyAlignment="1">
      <alignment/>
    </xf>
    <xf numFmtId="198" fontId="6" fillId="44" borderId="0" xfId="0" applyNumberFormat="1" applyFont="1" applyFill="1" applyBorder="1" applyAlignment="1">
      <alignment horizontal="center"/>
    </xf>
    <xf numFmtId="0" fontId="9" fillId="44" borderId="0" xfId="0" applyFont="1" applyFill="1" applyAlignment="1">
      <alignment/>
    </xf>
    <xf numFmtId="0" fontId="3" fillId="44" borderId="56" xfId="0" applyFont="1" applyFill="1" applyBorder="1" applyAlignment="1">
      <alignment/>
    </xf>
    <xf numFmtId="0" fontId="0" fillId="44" borderId="55" xfId="0" applyFill="1" applyBorder="1" applyAlignment="1">
      <alignment/>
    </xf>
    <xf numFmtId="0" fontId="15" fillId="44" borderId="57" xfId="54" applyFont="1" applyFill="1" applyBorder="1" applyAlignment="1">
      <alignment/>
      <protection/>
    </xf>
    <xf numFmtId="0" fontId="15" fillId="44" borderId="58" xfId="54" applyFont="1" applyFill="1" applyBorder="1" applyAlignment="1">
      <alignment/>
      <protection/>
    </xf>
    <xf numFmtId="49" fontId="15" fillId="44" borderId="58" xfId="0" applyNumberFormat="1" applyFont="1" applyFill="1" applyBorder="1" applyAlignment="1">
      <alignment vertical="center"/>
    </xf>
    <xf numFmtId="0" fontId="15" fillId="44" borderId="0" xfId="54" applyFont="1" applyFill="1" applyBorder="1" applyAlignment="1">
      <alignment horizontal="center"/>
      <protection/>
    </xf>
    <xf numFmtId="0" fontId="15" fillId="44" borderId="0" xfId="0" applyFont="1" applyFill="1" applyBorder="1" applyAlignment="1">
      <alignment/>
    </xf>
    <xf numFmtId="0" fontId="1" fillId="44" borderId="0" xfId="54" applyFont="1" applyFill="1" applyBorder="1" applyAlignment="1">
      <alignment horizontal="left" indent="2"/>
      <protection/>
    </xf>
    <xf numFmtId="0" fontId="0" fillId="44" borderId="0" xfId="0" applyFill="1" applyBorder="1" applyAlignment="1">
      <alignment horizontal="left" indent="2"/>
    </xf>
    <xf numFmtId="0" fontId="1" fillId="44" borderId="0" xfId="54" applyFont="1" applyFill="1" applyBorder="1" applyAlignment="1">
      <alignment horizontal="left"/>
      <protection/>
    </xf>
    <xf numFmtId="189" fontId="0" fillId="37" borderId="0" xfId="46" applyNumberFormat="1" applyFont="1" applyFill="1" applyAlignment="1">
      <alignment/>
    </xf>
    <xf numFmtId="0" fontId="15" fillId="37" borderId="55" xfId="54" applyFont="1" applyFill="1" applyBorder="1" applyAlignment="1">
      <alignment horizontal="left"/>
      <protection/>
    </xf>
    <xf numFmtId="49" fontId="15" fillId="37" borderId="55" xfId="0" applyNumberFormat="1" applyFont="1" applyFill="1" applyBorder="1" applyAlignment="1">
      <alignment horizontal="left" vertical="center"/>
    </xf>
    <xf numFmtId="194" fontId="9" fillId="44" borderId="0" xfId="48" applyNumberFormat="1" applyFont="1" applyFill="1" applyBorder="1" applyAlignment="1" applyProtection="1">
      <alignment/>
      <protection/>
    </xf>
    <xf numFmtId="0" fontId="3" fillId="44" borderId="0" xfId="0" applyFont="1" applyFill="1" applyAlignment="1" applyProtection="1">
      <alignment/>
      <protection/>
    </xf>
    <xf numFmtId="0" fontId="0" fillId="44" borderId="0" xfId="0" applyFill="1" applyAlignment="1" applyProtection="1">
      <alignment/>
      <protection/>
    </xf>
    <xf numFmtId="169" fontId="0" fillId="44" borderId="0" xfId="48" applyFont="1" applyFill="1" applyAlignment="1">
      <alignment/>
    </xf>
    <xf numFmtId="187" fontId="0" fillId="44" borderId="0" xfId="48" applyNumberFormat="1" applyFont="1" applyFill="1" applyAlignment="1">
      <alignment/>
    </xf>
    <xf numFmtId="0" fontId="3" fillId="44" borderId="0" xfId="0" applyFont="1" applyFill="1" applyAlignment="1" applyProtection="1">
      <alignment/>
      <protection/>
    </xf>
    <xf numFmtId="0" fontId="33" fillId="44" borderId="0" xfId="0" applyFont="1" applyFill="1" applyAlignment="1" applyProtection="1">
      <alignment horizontal="left"/>
      <protection/>
    </xf>
    <xf numFmtId="0" fontId="10" fillId="44" borderId="0" xfId="0" applyFont="1" applyFill="1" applyBorder="1" applyAlignment="1" applyProtection="1">
      <alignment horizontal="center" vertical="center"/>
      <protection/>
    </xf>
    <xf numFmtId="0" fontId="10" fillId="44" borderId="0" xfId="0" applyFont="1" applyFill="1" applyAlignment="1" applyProtection="1">
      <alignment horizontal="center" vertical="center"/>
      <protection/>
    </xf>
    <xf numFmtId="0" fontId="0" fillId="44" borderId="0" xfId="0" applyFill="1" applyBorder="1" applyAlignment="1" applyProtection="1">
      <alignment/>
      <protection/>
    </xf>
    <xf numFmtId="0" fontId="7" fillId="44" borderId="0" xfId="0" applyFont="1" applyFill="1" applyBorder="1" applyAlignment="1" applyProtection="1">
      <alignment/>
      <protection/>
    </xf>
    <xf numFmtId="0" fontId="3" fillId="44" borderId="59" xfId="0" applyFont="1" applyFill="1" applyBorder="1" applyAlignment="1" applyProtection="1">
      <alignment/>
      <protection/>
    </xf>
    <xf numFmtId="0" fontId="7" fillId="44" borderId="36" xfId="0" applyFont="1" applyFill="1" applyBorder="1" applyAlignment="1" applyProtection="1">
      <alignment/>
      <protection/>
    </xf>
    <xf numFmtId="0" fontId="0" fillId="44" borderId="0" xfId="0" applyFont="1" applyFill="1" applyAlignment="1" applyProtection="1">
      <alignment/>
      <protection/>
    </xf>
    <xf numFmtId="10" fontId="0" fillId="44" borderId="0" xfId="0" applyNumberFormat="1" applyFill="1" applyBorder="1" applyAlignment="1" applyProtection="1">
      <alignment/>
      <protection/>
    </xf>
    <xf numFmtId="10" fontId="0" fillId="44" borderId="59" xfId="0" applyNumberFormat="1" applyFill="1" applyBorder="1" applyAlignment="1" applyProtection="1">
      <alignment/>
      <protection/>
    </xf>
    <xf numFmtId="10" fontId="7" fillId="44" borderId="0" xfId="0" applyNumberFormat="1" applyFont="1" applyFill="1" applyBorder="1" applyAlignment="1" applyProtection="1">
      <alignment/>
      <protection/>
    </xf>
    <xf numFmtId="10" fontId="3" fillId="44" borderId="59" xfId="0" applyNumberFormat="1" applyFont="1" applyFill="1" applyBorder="1" applyAlignment="1" applyProtection="1">
      <alignment/>
      <protection/>
    </xf>
    <xf numFmtId="10" fontId="7" fillId="44" borderId="36" xfId="0" applyNumberFormat="1" applyFont="1" applyFill="1" applyBorder="1" applyAlignment="1" applyProtection="1">
      <alignment/>
      <protection/>
    </xf>
    <xf numFmtId="10" fontId="0" fillId="44" borderId="0" xfId="0" applyNumberFormat="1" applyFill="1" applyAlignment="1" applyProtection="1">
      <alignment/>
      <protection/>
    </xf>
    <xf numFmtId="10" fontId="7" fillId="44" borderId="0" xfId="0" applyNumberFormat="1" applyFont="1" applyFill="1" applyAlignment="1" applyProtection="1">
      <alignment/>
      <protection/>
    </xf>
    <xf numFmtId="10" fontId="3" fillId="44" borderId="0" xfId="0" applyNumberFormat="1" applyFont="1" applyFill="1" applyAlignment="1" applyProtection="1">
      <alignment/>
      <protection/>
    </xf>
    <xf numFmtId="10" fontId="0" fillId="44" borderId="0" xfId="0" applyNumberFormat="1" applyFill="1" applyAlignment="1">
      <alignment/>
    </xf>
    <xf numFmtId="0" fontId="3" fillId="44" borderId="0" xfId="0" applyFont="1" applyFill="1" applyBorder="1" applyAlignment="1" applyProtection="1">
      <alignment/>
      <protection/>
    </xf>
    <xf numFmtId="0" fontId="7" fillId="44" borderId="0" xfId="0" applyFont="1" applyFill="1" applyBorder="1" applyAlignment="1" applyProtection="1" quotePrefix="1">
      <alignment horizontal="left" indent="1"/>
      <protection/>
    </xf>
    <xf numFmtId="0" fontId="7" fillId="44" borderId="36" xfId="0" applyFont="1" applyFill="1" applyBorder="1" applyAlignment="1" applyProtection="1" quotePrefix="1">
      <alignment horizontal="left" indent="1"/>
      <protection/>
    </xf>
    <xf numFmtId="186" fontId="7" fillId="44" borderId="0" xfId="48" applyNumberFormat="1" applyFont="1" applyFill="1" applyBorder="1" applyAlignment="1" applyProtection="1">
      <alignment/>
      <protection/>
    </xf>
    <xf numFmtId="10" fontId="7" fillId="44" borderId="0" xfId="57" applyNumberFormat="1" applyFont="1" applyFill="1" applyBorder="1" applyAlignment="1" applyProtection="1">
      <alignment/>
      <protection/>
    </xf>
    <xf numFmtId="187" fontId="7" fillId="44" borderId="0" xfId="48" applyNumberFormat="1" applyFont="1" applyFill="1" applyBorder="1" applyAlignment="1" applyProtection="1">
      <alignment/>
      <protection/>
    </xf>
    <xf numFmtId="186" fontId="7" fillId="44" borderId="36" xfId="48" applyNumberFormat="1" applyFont="1" applyFill="1" applyBorder="1" applyAlignment="1" applyProtection="1">
      <alignment/>
      <protection/>
    </xf>
    <xf numFmtId="10" fontId="7" fillId="44" borderId="36" xfId="57" applyNumberFormat="1" applyFont="1" applyFill="1" applyBorder="1" applyAlignment="1" applyProtection="1">
      <alignment/>
      <protection/>
    </xf>
    <xf numFmtId="187" fontId="7" fillId="44" borderId="36" xfId="48" applyNumberFormat="1" applyFont="1" applyFill="1" applyBorder="1" applyAlignment="1" applyProtection="1">
      <alignment/>
      <protection/>
    </xf>
    <xf numFmtId="0" fontId="0" fillId="44" borderId="0" xfId="0" applyFont="1" applyFill="1" applyAlignment="1">
      <alignment/>
    </xf>
    <xf numFmtId="169" fontId="0" fillId="44" borderId="0" xfId="48" applyFont="1" applyFill="1" applyBorder="1" applyAlignment="1" applyProtection="1">
      <alignment/>
      <protection/>
    </xf>
    <xf numFmtId="187" fontId="0" fillId="44" borderId="0" xfId="48" applyNumberFormat="1" applyFont="1" applyFill="1" applyBorder="1" applyAlignment="1" applyProtection="1">
      <alignment/>
      <protection/>
    </xf>
    <xf numFmtId="0" fontId="9" fillId="33" borderId="12" xfId="0" applyFont="1" applyFill="1" applyBorder="1" applyAlignment="1" applyProtection="1">
      <alignment horizontal="left"/>
      <protection/>
    </xf>
    <xf numFmtId="187" fontId="3" fillId="35" borderId="53" xfId="48" applyNumberFormat="1" applyFont="1" applyFill="1" applyBorder="1" applyAlignment="1" applyProtection="1">
      <alignment/>
      <protection locked="0"/>
    </xf>
    <xf numFmtId="171" fontId="0" fillId="38" borderId="0" xfId="0" applyNumberFormat="1" applyFill="1" applyAlignment="1">
      <alignment/>
    </xf>
    <xf numFmtId="187" fontId="0" fillId="0" borderId="0" xfId="0" applyNumberFormat="1" applyFill="1" applyAlignment="1">
      <alignment/>
    </xf>
    <xf numFmtId="201" fontId="0" fillId="0" borderId="0" xfId="0" applyNumberFormat="1" applyFill="1" applyAlignment="1">
      <alignment/>
    </xf>
    <xf numFmtId="205" fontId="0" fillId="0" borderId="0" xfId="0" applyNumberFormat="1" applyAlignment="1">
      <alignment/>
    </xf>
    <xf numFmtId="186" fontId="0" fillId="34" borderId="0" xfId="48" applyNumberFormat="1" applyFont="1" applyFill="1" applyAlignment="1">
      <alignment/>
    </xf>
    <xf numFmtId="190" fontId="0" fillId="34" borderId="0" xfId="0" applyNumberFormat="1" applyFill="1" applyAlignment="1">
      <alignment/>
    </xf>
    <xf numFmtId="4" fontId="0" fillId="34" borderId="0" xfId="0" applyNumberFormat="1" applyFill="1" applyAlignment="1">
      <alignment/>
    </xf>
    <xf numFmtId="205" fontId="0" fillId="34" borderId="0" xfId="0" applyNumberFormat="1" applyFill="1" applyAlignment="1">
      <alignment/>
    </xf>
    <xf numFmtId="205" fontId="1" fillId="0" borderId="0" xfId="48" applyNumberFormat="1" applyFont="1" applyFill="1" applyAlignment="1">
      <alignment/>
    </xf>
    <xf numFmtId="205" fontId="0" fillId="0" borderId="0" xfId="0" applyNumberFormat="1" applyFill="1" applyAlignment="1">
      <alignment/>
    </xf>
    <xf numFmtId="0" fontId="0" fillId="43" borderId="45" xfId="0" applyFill="1" applyBorder="1" applyAlignment="1" applyProtection="1">
      <alignment/>
      <protection/>
    </xf>
    <xf numFmtId="49" fontId="0" fillId="34" borderId="0" xfId="0" applyNumberFormat="1" applyFill="1" applyAlignment="1">
      <alignment horizontal="center"/>
    </xf>
    <xf numFmtId="186" fontId="1" fillId="34" borderId="0" xfId="48" applyNumberFormat="1" applyFont="1" applyFill="1" applyAlignment="1">
      <alignment/>
    </xf>
    <xf numFmtId="187" fontId="0" fillId="34" borderId="0" xfId="0" applyNumberFormat="1" applyFill="1" applyAlignment="1">
      <alignment/>
    </xf>
    <xf numFmtId="186" fontId="0" fillId="34" borderId="0" xfId="0" applyNumberFormat="1" applyFill="1" applyAlignment="1">
      <alignment/>
    </xf>
    <xf numFmtId="186" fontId="0" fillId="34" borderId="12" xfId="48" applyNumberFormat="1" applyFont="1" applyFill="1" applyBorder="1" applyAlignment="1">
      <alignment/>
    </xf>
    <xf numFmtId="0" fontId="3" fillId="0" borderId="48" xfId="0" applyFont="1" applyFill="1" applyBorder="1" applyAlignment="1" applyProtection="1">
      <alignment horizontal="left"/>
      <protection/>
    </xf>
    <xf numFmtId="186" fontId="3" fillId="38" borderId="12" xfId="0" applyNumberFormat="1" applyFont="1" applyFill="1" applyBorder="1" applyAlignment="1">
      <alignment/>
    </xf>
    <xf numFmtId="186" fontId="6" fillId="38" borderId="12" xfId="0" applyNumberFormat="1" applyFont="1" applyFill="1" applyBorder="1" applyAlignment="1">
      <alignment/>
    </xf>
    <xf numFmtId="0" fontId="3" fillId="0" borderId="14" xfId="0" applyFont="1" applyBorder="1" applyAlignment="1">
      <alignment horizontal="center"/>
    </xf>
    <xf numFmtId="186" fontId="0" fillId="33" borderId="0" xfId="48" applyNumberFormat="1" applyFont="1" applyFill="1" applyAlignment="1" quotePrefix="1">
      <alignment/>
    </xf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0" fillId="33" borderId="0" xfId="0" applyFont="1" applyFill="1" applyAlignment="1">
      <alignment wrapText="1"/>
    </xf>
    <xf numFmtId="0" fontId="0" fillId="33" borderId="36" xfId="0" applyFont="1" applyFill="1" applyBorder="1" applyAlignment="1">
      <alignment horizontal="center" wrapText="1"/>
    </xf>
    <xf numFmtId="0" fontId="15" fillId="34" borderId="0" xfId="0" applyFont="1" applyFill="1" applyAlignment="1">
      <alignment/>
    </xf>
    <xf numFmtId="0" fontId="0" fillId="0" borderId="36" xfId="0" applyBorder="1" applyAlignment="1">
      <alignment/>
    </xf>
    <xf numFmtId="0" fontId="0" fillId="0" borderId="60" xfId="0" applyBorder="1" applyAlignment="1">
      <alignment/>
    </xf>
    <xf numFmtId="0" fontId="3" fillId="0" borderId="36" xfId="0" applyFont="1" applyBorder="1" applyAlignment="1">
      <alignment horizontal="center"/>
    </xf>
    <xf numFmtId="0" fontId="11" fillId="33" borderId="12" xfId="0" applyFont="1" applyFill="1" applyBorder="1" applyAlignment="1">
      <alignment/>
    </xf>
    <xf numFmtId="189" fontId="0" fillId="0" borderId="0" xfId="0" applyNumberFormat="1" applyFill="1" applyAlignment="1">
      <alignment/>
    </xf>
    <xf numFmtId="0" fontId="11" fillId="33" borderId="12" xfId="0" applyFont="1" applyFill="1" applyBorder="1" applyAlignment="1">
      <alignment/>
    </xf>
    <xf numFmtId="0" fontId="11" fillId="0" borderId="0" xfId="0" applyFont="1" applyAlignment="1">
      <alignment/>
    </xf>
    <xf numFmtId="0" fontId="0" fillId="44" borderId="0" xfId="0" applyFill="1" applyBorder="1" applyAlignment="1" applyProtection="1">
      <alignment vertical="center"/>
      <protection/>
    </xf>
    <xf numFmtId="0" fontId="34" fillId="33" borderId="61" xfId="0" applyFont="1" applyFill="1" applyBorder="1" applyAlignment="1" applyProtection="1">
      <alignment horizontal="center"/>
      <protection/>
    </xf>
    <xf numFmtId="169" fontId="9" fillId="33" borderId="62" xfId="48" applyFont="1" applyFill="1" applyBorder="1" applyAlignment="1" applyProtection="1">
      <alignment horizontal="center"/>
      <protection/>
    </xf>
    <xf numFmtId="187" fontId="9" fillId="33" borderId="62" xfId="48" applyNumberFormat="1" applyFont="1" applyFill="1" applyBorder="1" applyAlignment="1" applyProtection="1">
      <alignment horizontal="center"/>
      <protection/>
    </xf>
    <xf numFmtId="49" fontId="15" fillId="0" borderId="0" xfId="0" applyNumberFormat="1" applyFont="1" applyFill="1" applyBorder="1" applyAlignment="1">
      <alignment vertical="center"/>
    </xf>
    <xf numFmtId="49" fontId="0" fillId="44" borderId="0" xfId="0" applyNumberFormat="1" applyFill="1" applyAlignment="1">
      <alignment/>
    </xf>
    <xf numFmtId="0" fontId="0" fillId="43" borderId="46" xfId="0" applyFill="1" applyBorder="1" applyAlignment="1" applyProtection="1">
      <alignment/>
      <protection/>
    </xf>
    <xf numFmtId="0" fontId="0" fillId="34" borderId="0" xfId="0" applyFill="1" applyAlignment="1">
      <alignment/>
    </xf>
    <xf numFmtId="1" fontId="15" fillId="34" borderId="0" xfId="0" applyNumberFormat="1" applyFont="1" applyFill="1" applyAlignment="1">
      <alignment/>
    </xf>
    <xf numFmtId="2" fontId="0" fillId="33" borderId="0" xfId="0" applyNumberFormat="1" applyFont="1" applyFill="1" applyAlignment="1">
      <alignment horizontal="center" vertical="center" wrapText="1"/>
    </xf>
    <xf numFmtId="0" fontId="0" fillId="0" borderId="36" xfId="0" applyFill="1" applyBorder="1" applyAlignment="1">
      <alignment/>
    </xf>
    <xf numFmtId="49" fontId="15" fillId="0" borderId="36" xfId="0" applyNumberFormat="1" applyFont="1" applyFill="1" applyBorder="1" applyAlignment="1">
      <alignment vertical="center"/>
    </xf>
    <xf numFmtId="189" fontId="15" fillId="34" borderId="0" xfId="0" applyNumberFormat="1" applyFont="1" applyFill="1" applyAlignment="1">
      <alignment/>
    </xf>
    <xf numFmtId="0" fontId="22" fillId="0" borderId="32" xfId="0" applyFont="1" applyFill="1" applyBorder="1" applyAlignment="1" applyProtection="1">
      <alignment/>
      <protection locked="0"/>
    </xf>
    <xf numFmtId="198" fontId="0" fillId="0" borderId="0" xfId="48" applyNumberFormat="1" applyFont="1" applyFill="1" applyBorder="1" applyAlignment="1" applyProtection="1">
      <alignment/>
      <protection/>
    </xf>
    <xf numFmtId="198" fontId="17" fillId="0" borderId="0" xfId="48" applyNumberFormat="1" applyFont="1" applyFill="1" applyBorder="1" applyAlignment="1" applyProtection="1">
      <alignment/>
      <protection/>
    </xf>
    <xf numFmtId="198" fontId="6" fillId="0" borderId="63" xfId="0" applyNumberFormat="1" applyFont="1" applyFill="1" applyBorder="1" applyAlignment="1" applyProtection="1">
      <alignment horizontal="center"/>
      <protection/>
    </xf>
    <xf numFmtId="187" fontId="0" fillId="0" borderId="0" xfId="48" applyNumberFormat="1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87" fontId="6" fillId="34" borderId="39" xfId="0" applyNumberFormat="1" applyFont="1" applyFill="1" applyBorder="1" applyAlignment="1" applyProtection="1">
      <alignment horizontal="center"/>
      <protection/>
    </xf>
    <xf numFmtId="187" fontId="0" fillId="0" borderId="64" xfId="48" applyNumberFormat="1" applyFont="1" applyFill="1" applyBorder="1" applyAlignment="1" applyProtection="1">
      <alignment/>
      <protection/>
    </xf>
    <xf numFmtId="0" fontId="0" fillId="0" borderId="35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 horizontal="right"/>
      <protection/>
    </xf>
    <xf numFmtId="0" fontId="11" fillId="0" borderId="0" xfId="0" applyFont="1" applyFill="1" applyBorder="1" applyAlignment="1" applyProtection="1">
      <alignment/>
      <protection/>
    </xf>
    <xf numFmtId="0" fontId="28" fillId="0" borderId="0" xfId="0" applyFont="1" applyFill="1" applyAlignment="1" applyProtection="1">
      <alignment/>
      <protection/>
    </xf>
    <xf numFmtId="0" fontId="11" fillId="0" borderId="0" xfId="0" applyFont="1" applyFill="1" applyBorder="1" applyAlignment="1" applyProtection="1">
      <alignment horizontal="left"/>
      <protection/>
    </xf>
    <xf numFmtId="0" fontId="29" fillId="0" borderId="0" xfId="0" applyFont="1" applyFill="1" applyAlignment="1" applyProtection="1">
      <alignment horizontal="left" vertical="top" indent="1"/>
      <protection/>
    </xf>
    <xf numFmtId="0" fontId="15" fillId="0" borderId="65" xfId="0" applyFont="1" applyFill="1" applyBorder="1" applyAlignment="1" applyProtection="1">
      <alignment horizontal="center"/>
      <protection/>
    </xf>
    <xf numFmtId="198" fontId="6" fillId="34" borderId="39" xfId="0" applyNumberFormat="1" applyFont="1" applyFill="1" applyBorder="1" applyAlignment="1" applyProtection="1">
      <alignment horizontal="center"/>
      <protection/>
    </xf>
    <xf numFmtId="0" fontId="0" fillId="37" borderId="0" xfId="0" applyFill="1" applyBorder="1" applyAlignment="1" applyProtection="1">
      <alignment/>
      <protection/>
    </xf>
    <xf numFmtId="49" fontId="15" fillId="0" borderId="55" xfId="0" applyNumberFormat="1" applyFont="1" applyBorder="1" applyAlignment="1" applyProtection="1">
      <alignment horizontal="center" vertical="center"/>
      <protection/>
    </xf>
    <xf numFmtId="49" fontId="15" fillId="0" borderId="0" xfId="0" applyNumberFormat="1" applyFont="1" applyBorder="1" applyAlignment="1" applyProtection="1">
      <alignment horizontal="center" vertical="center"/>
      <protection/>
    </xf>
    <xf numFmtId="49" fontId="15" fillId="0" borderId="0" xfId="0" applyNumberFormat="1" applyFont="1" applyFill="1" applyBorder="1" applyAlignment="1" applyProtection="1">
      <alignment horizontal="center" vertical="center"/>
      <protection/>
    </xf>
    <xf numFmtId="49" fontId="15" fillId="0" borderId="58" xfId="0" applyNumberFormat="1" applyFont="1" applyBorder="1" applyAlignment="1" applyProtection="1">
      <alignment horizontal="center" vertical="center"/>
      <protection/>
    </xf>
    <xf numFmtId="198" fontId="0" fillId="0" borderId="0" xfId="48" applyNumberFormat="1" applyFont="1" applyFill="1" applyBorder="1" applyAlignment="1" applyProtection="1">
      <alignment vertical="center"/>
      <protection/>
    </xf>
    <xf numFmtId="0" fontId="15" fillId="0" borderId="38" xfId="0" applyFont="1" applyBorder="1" applyAlignment="1" applyProtection="1">
      <alignment horizontal="center"/>
      <protection/>
    </xf>
    <xf numFmtId="0" fontId="15" fillId="0" borderId="40" xfId="0" applyFont="1" applyBorder="1" applyAlignment="1" applyProtection="1">
      <alignment horizontal="left"/>
      <protection/>
    </xf>
    <xf numFmtId="49" fontId="15" fillId="0" borderId="40" xfId="0" applyNumberFormat="1" applyFont="1" applyBorder="1" applyAlignment="1" applyProtection="1">
      <alignment horizontal="center"/>
      <protection/>
    </xf>
    <xf numFmtId="198" fontId="0" fillId="0" borderId="55" xfId="48" applyNumberFormat="1" applyFont="1" applyFill="1" applyBorder="1" applyAlignment="1" applyProtection="1">
      <alignment/>
      <protection/>
    </xf>
    <xf numFmtId="0" fontId="0" fillId="37" borderId="0" xfId="0" applyFill="1" applyAlignment="1" applyProtection="1">
      <alignment/>
      <protection/>
    </xf>
    <xf numFmtId="0" fontId="29" fillId="37" borderId="0" xfId="0" applyFont="1" applyFill="1" applyAlignment="1" applyProtection="1">
      <alignment horizontal="left" vertical="top" indent="1"/>
      <protection/>
    </xf>
    <xf numFmtId="0" fontId="14" fillId="37" borderId="0" xfId="0" applyFont="1" applyFill="1" applyBorder="1" applyAlignment="1" applyProtection="1">
      <alignment horizontal="right"/>
      <protection/>
    </xf>
    <xf numFmtId="0" fontId="14" fillId="37" borderId="0" xfId="0" applyFont="1" applyFill="1" applyBorder="1" applyAlignment="1" applyProtection="1">
      <alignment horizontal="left" vertical="center"/>
      <protection/>
    </xf>
    <xf numFmtId="0" fontId="30" fillId="37" borderId="0" xfId="0" applyFont="1" applyFill="1" applyBorder="1" applyAlignment="1" applyProtection="1">
      <alignment vertical="center"/>
      <protection/>
    </xf>
    <xf numFmtId="0" fontId="11" fillId="37" borderId="0" xfId="0" applyFont="1" applyFill="1" applyBorder="1" applyAlignment="1" applyProtection="1">
      <alignment horizontal="left"/>
      <protection/>
    </xf>
    <xf numFmtId="0" fontId="28" fillId="44" borderId="0" xfId="0" applyFont="1" applyFill="1" applyAlignment="1" applyProtection="1">
      <alignment/>
      <protection/>
    </xf>
    <xf numFmtId="0" fontId="11" fillId="44" borderId="0" xfId="0" applyFont="1" applyFill="1" applyBorder="1" applyAlignment="1" applyProtection="1">
      <alignment/>
      <protection/>
    </xf>
    <xf numFmtId="0" fontId="27" fillId="44" borderId="0" xfId="0" applyFont="1" applyFill="1" applyAlignment="1" applyProtection="1">
      <alignment vertical="center"/>
      <protection/>
    </xf>
    <xf numFmtId="0" fontId="26" fillId="44" borderId="0" xfId="0" applyFont="1" applyFill="1" applyAlignment="1" applyProtection="1">
      <alignment vertical="center"/>
      <protection/>
    </xf>
    <xf numFmtId="0" fontId="45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7" fillId="44" borderId="0" xfId="0" applyFont="1" applyFill="1" applyAlignment="1" applyProtection="1">
      <alignment vertical="center"/>
      <protection/>
    </xf>
    <xf numFmtId="0" fontId="11" fillId="44" borderId="0" xfId="0" applyFont="1" applyFill="1" applyBorder="1" applyAlignment="1" applyProtection="1">
      <alignment horizontal="left"/>
      <protection/>
    </xf>
    <xf numFmtId="0" fontId="0" fillId="44" borderId="0" xfId="0" applyFont="1" applyFill="1" applyAlignment="1" applyProtection="1">
      <alignment/>
      <protection/>
    </xf>
    <xf numFmtId="0" fontId="14" fillId="44" borderId="0" xfId="0" applyFont="1" applyFill="1" applyBorder="1" applyAlignment="1" applyProtection="1">
      <alignment horizontal="right" vertical="center"/>
      <protection/>
    </xf>
    <xf numFmtId="0" fontId="24" fillId="44" borderId="0" xfId="0" applyFont="1" applyFill="1" applyAlignment="1" applyProtection="1">
      <alignment/>
      <protection/>
    </xf>
    <xf numFmtId="0" fontId="0" fillId="36" borderId="0" xfId="0" applyFill="1" applyAlignment="1" applyProtection="1">
      <alignment/>
      <protection/>
    </xf>
    <xf numFmtId="0" fontId="18" fillId="36" borderId="0" xfId="0" applyFont="1" applyFill="1" applyAlignment="1" applyProtection="1">
      <alignment/>
      <protection/>
    </xf>
    <xf numFmtId="49" fontId="15" fillId="37" borderId="64" xfId="0" applyNumberFormat="1" applyFont="1" applyFill="1" applyBorder="1" applyAlignment="1" applyProtection="1">
      <alignment vertical="center"/>
      <protection/>
    </xf>
    <xf numFmtId="49" fontId="15" fillId="37" borderId="0" xfId="0" applyNumberFormat="1" applyFont="1" applyFill="1" applyBorder="1" applyAlignment="1" applyProtection="1">
      <alignment vertical="center"/>
      <protection/>
    </xf>
    <xf numFmtId="0" fontId="0" fillId="36" borderId="0" xfId="0" applyFill="1" applyBorder="1" applyAlignment="1" applyProtection="1">
      <alignment/>
      <protection/>
    </xf>
    <xf numFmtId="49" fontId="15" fillId="44" borderId="55" xfId="0" applyNumberFormat="1" applyFont="1" applyFill="1" applyBorder="1" applyAlignment="1" applyProtection="1">
      <alignment horizontal="center" vertical="center"/>
      <protection/>
    </xf>
    <xf numFmtId="49" fontId="15" fillId="44" borderId="55" xfId="0" applyNumberFormat="1" applyFont="1" applyFill="1" applyBorder="1" applyAlignment="1" applyProtection="1">
      <alignment vertical="center"/>
      <protection/>
    </xf>
    <xf numFmtId="49" fontId="15" fillId="37" borderId="0" xfId="0" applyNumberFormat="1" applyFont="1" applyFill="1" applyBorder="1" applyAlignment="1" applyProtection="1">
      <alignment horizontal="center" vertical="center"/>
      <protection/>
    </xf>
    <xf numFmtId="49" fontId="15" fillId="44" borderId="0" xfId="0" applyNumberFormat="1" applyFont="1" applyFill="1" applyBorder="1" applyAlignment="1" applyProtection="1">
      <alignment horizontal="center" vertical="center"/>
      <protection/>
    </xf>
    <xf numFmtId="49" fontId="15" fillId="36" borderId="0" xfId="0" applyNumberFormat="1" applyFont="1" applyFill="1" applyBorder="1" applyAlignment="1" applyProtection="1">
      <alignment horizontal="center" vertical="center"/>
      <protection/>
    </xf>
    <xf numFmtId="49" fontId="15" fillId="44" borderId="0" xfId="0" applyNumberFormat="1" applyFont="1" applyFill="1" applyBorder="1" applyAlignment="1" applyProtection="1">
      <alignment vertical="center" wrapText="1"/>
      <protection/>
    </xf>
    <xf numFmtId="49" fontId="15" fillId="44" borderId="0" xfId="0" applyNumberFormat="1" applyFont="1" applyFill="1" applyBorder="1" applyAlignment="1" applyProtection="1">
      <alignment vertical="center"/>
      <protection/>
    </xf>
    <xf numFmtId="49" fontId="15" fillId="44" borderId="40" xfId="0" applyNumberFormat="1" applyFont="1" applyFill="1" applyBorder="1" applyAlignment="1" applyProtection="1">
      <alignment vertical="center"/>
      <protection/>
    </xf>
    <xf numFmtId="49" fontId="15" fillId="37" borderId="55" xfId="0" applyNumberFormat="1" applyFont="1" applyFill="1" applyBorder="1" applyAlignment="1" applyProtection="1">
      <alignment horizontal="center" vertical="center"/>
      <protection/>
    </xf>
    <xf numFmtId="49" fontId="15" fillId="37" borderId="40" xfId="0" applyNumberFormat="1" applyFont="1" applyFill="1" applyBorder="1" applyAlignment="1" applyProtection="1">
      <alignment horizontal="center" vertical="center"/>
      <protection/>
    </xf>
    <xf numFmtId="1" fontId="0" fillId="35" borderId="53" xfId="0" applyNumberFormat="1" applyFill="1" applyBorder="1" applyAlignment="1" applyProtection="1">
      <alignment/>
      <protection locked="0"/>
    </xf>
    <xf numFmtId="192" fontId="0" fillId="44" borderId="66" xfId="46" applyNumberFormat="1" applyFont="1" applyFill="1" applyBorder="1" applyAlignment="1" applyProtection="1">
      <alignment horizontal="right"/>
      <protection/>
    </xf>
    <xf numFmtId="192" fontId="0" fillId="44" borderId="0" xfId="0" applyNumberFormat="1" applyFill="1" applyAlignment="1" applyProtection="1">
      <alignment horizontal="right"/>
      <protection/>
    </xf>
    <xf numFmtId="189" fontId="0" fillId="44" borderId="0" xfId="46" applyNumberFormat="1" applyFont="1" applyFill="1" applyBorder="1" applyAlignment="1" applyProtection="1">
      <alignment horizontal="center"/>
      <protection/>
    </xf>
    <xf numFmtId="189" fontId="0" fillId="44" borderId="0" xfId="46" applyNumberFormat="1" applyFont="1" applyFill="1" applyAlignment="1" applyProtection="1">
      <alignment/>
      <protection/>
    </xf>
    <xf numFmtId="0" fontId="28" fillId="44" borderId="0" xfId="0" applyFont="1" applyFill="1" applyAlignment="1" applyProtection="1">
      <alignment horizontal="center"/>
      <protection/>
    </xf>
    <xf numFmtId="0" fontId="12" fillId="0" borderId="0" xfId="0" applyFont="1" applyFill="1" applyBorder="1" applyAlignment="1" applyProtection="1">
      <alignment/>
      <protection/>
    </xf>
    <xf numFmtId="169" fontId="12" fillId="0" borderId="0" xfId="48" applyFont="1" applyFill="1" applyBorder="1" applyAlignment="1" applyProtection="1">
      <alignment horizontal="left"/>
      <protection/>
    </xf>
    <xf numFmtId="169" fontId="12" fillId="0" borderId="0" xfId="0" applyNumberFormat="1" applyFont="1" applyFill="1" applyBorder="1" applyAlignment="1" applyProtection="1">
      <alignment/>
      <protection/>
    </xf>
    <xf numFmtId="0" fontId="13" fillId="36" borderId="0" xfId="0" applyFont="1" applyFill="1" applyAlignment="1">
      <alignment/>
    </xf>
    <xf numFmtId="2" fontId="0" fillId="0" borderId="11" xfId="54" applyNumberFormat="1" applyFont="1" applyFill="1" applyBorder="1" applyAlignment="1">
      <alignment horizontal="right"/>
      <protection/>
    </xf>
    <xf numFmtId="4" fontId="0" fillId="0" borderId="11" xfId="54" applyNumberFormat="1" applyFont="1" applyFill="1" applyBorder="1" applyAlignment="1">
      <alignment horizontal="right"/>
      <protection/>
    </xf>
    <xf numFmtId="0" fontId="0" fillId="0" borderId="0" xfId="0" applyFont="1" applyFill="1" applyAlignment="1">
      <alignment/>
    </xf>
    <xf numFmtId="0" fontId="0" fillId="0" borderId="11" xfId="54" applyFont="1" applyFill="1" applyBorder="1" applyAlignment="1">
      <alignment horizontal="right" wrapText="1"/>
      <protection/>
    </xf>
    <xf numFmtId="0" fontId="0" fillId="0" borderId="67" xfId="54" applyFont="1" applyFill="1" applyBorder="1" applyAlignment="1">
      <alignment horizontal="right" wrapText="1"/>
      <protection/>
    </xf>
    <xf numFmtId="2" fontId="46" fillId="0" borderId="11" xfId="54" applyNumberFormat="1" applyFont="1" applyFill="1" applyBorder="1" applyAlignment="1">
      <alignment horizontal="right"/>
      <protection/>
    </xf>
    <xf numFmtId="4" fontId="46" fillId="0" borderId="11" xfId="54" applyNumberFormat="1" applyFont="1" applyFill="1" applyBorder="1" applyAlignment="1">
      <alignment horizontal="right"/>
      <protection/>
    </xf>
    <xf numFmtId="2" fontId="46" fillId="0" borderId="11" xfId="54" applyNumberFormat="1" applyFont="1" applyFill="1" applyBorder="1" applyAlignment="1" applyProtection="1">
      <alignment horizontal="right"/>
      <protection locked="0"/>
    </xf>
    <xf numFmtId="4" fontId="46" fillId="0" borderId="11" xfId="54" applyNumberFormat="1" applyFont="1" applyFill="1" applyBorder="1" applyAlignment="1" applyProtection="1">
      <alignment horizontal="right"/>
      <protection locked="0"/>
    </xf>
    <xf numFmtId="0" fontId="0" fillId="37" borderId="0" xfId="0" applyFill="1" applyBorder="1" applyAlignment="1">
      <alignment horizontal="right"/>
    </xf>
    <xf numFmtId="0" fontId="0" fillId="37" borderId="0" xfId="0" applyFill="1" applyBorder="1" applyAlignment="1">
      <alignment/>
    </xf>
    <xf numFmtId="0" fontId="46" fillId="37" borderId="0" xfId="0" applyFont="1" applyFill="1" applyAlignment="1">
      <alignment/>
    </xf>
    <xf numFmtId="4" fontId="0" fillId="37" borderId="0" xfId="0" applyNumberFormat="1" applyFill="1" applyAlignment="1">
      <alignment/>
    </xf>
    <xf numFmtId="4" fontId="0" fillId="37" borderId="0" xfId="0" applyNumberFormat="1" applyFill="1" applyBorder="1" applyAlignment="1">
      <alignment/>
    </xf>
    <xf numFmtId="4" fontId="46" fillId="37" borderId="0" xfId="0" applyNumberFormat="1" applyFont="1" applyFill="1" applyBorder="1" applyAlignment="1">
      <alignment/>
    </xf>
    <xf numFmtId="4" fontId="46" fillId="37" borderId="0" xfId="0" applyNumberFormat="1" applyFont="1" applyFill="1" applyAlignment="1">
      <alignment/>
    </xf>
    <xf numFmtId="4" fontId="10" fillId="45" borderId="0" xfId="0" applyNumberFormat="1" applyFont="1" applyFill="1" applyAlignment="1">
      <alignment/>
    </xf>
    <xf numFmtId="49" fontId="15" fillId="44" borderId="0" xfId="0" applyNumberFormat="1" applyFont="1" applyFill="1" applyBorder="1" applyAlignment="1">
      <alignment vertical="center" wrapText="1"/>
    </xf>
    <xf numFmtId="49" fontId="32" fillId="44" borderId="0" xfId="0" applyNumberFormat="1" applyFont="1" applyFill="1" applyBorder="1" applyAlignment="1">
      <alignment horizontal="left" vertical="center"/>
    </xf>
    <xf numFmtId="49" fontId="32" fillId="44" borderId="0" xfId="0" applyNumberFormat="1" applyFont="1" applyFill="1" applyBorder="1" applyAlignment="1">
      <alignment vertical="center"/>
    </xf>
    <xf numFmtId="49" fontId="32" fillId="44" borderId="0" xfId="0" applyNumberFormat="1" applyFont="1" applyFill="1" applyBorder="1" applyAlignment="1">
      <alignment horizontal="center" vertical="center"/>
    </xf>
    <xf numFmtId="49" fontId="32" fillId="44" borderId="68" xfId="0" applyNumberFormat="1" applyFont="1" applyFill="1" applyBorder="1" applyAlignment="1">
      <alignment vertical="center"/>
    </xf>
    <xf numFmtId="49" fontId="32" fillId="44" borderId="35" xfId="0" applyNumberFormat="1" applyFont="1" applyFill="1" applyBorder="1" applyAlignment="1">
      <alignment vertical="center"/>
    </xf>
    <xf numFmtId="0" fontId="1" fillId="0" borderId="69" xfId="53" applyFont="1" applyFill="1" applyBorder="1" applyAlignment="1">
      <alignment horizontal="left"/>
      <protection/>
    </xf>
    <xf numFmtId="0" fontId="0" fillId="0" borderId="70" xfId="0" applyBorder="1" applyAlignment="1">
      <alignment/>
    </xf>
    <xf numFmtId="0" fontId="0" fillId="0" borderId="35" xfId="0" applyFont="1" applyBorder="1" applyAlignment="1">
      <alignment vertical="top" wrapText="1"/>
    </xf>
    <xf numFmtId="0" fontId="0" fillId="0" borderId="71" xfId="0" applyBorder="1" applyAlignment="1">
      <alignment/>
    </xf>
    <xf numFmtId="0" fontId="0" fillId="0" borderId="12" xfId="0" applyFont="1" applyBorder="1" applyAlignment="1">
      <alignment vertical="top" wrapText="1"/>
    </xf>
    <xf numFmtId="197" fontId="0" fillId="34" borderId="48" xfId="48" applyNumberFormat="1" applyFont="1" applyFill="1" applyBorder="1" applyAlignment="1" applyProtection="1">
      <alignment/>
      <protection/>
    </xf>
    <xf numFmtId="187" fontId="1" fillId="33" borderId="0" xfId="48" applyNumberFormat="1" applyFont="1" applyFill="1" applyAlignment="1">
      <alignment/>
    </xf>
    <xf numFmtId="187" fontId="0" fillId="33" borderId="0" xfId="48" applyNumberFormat="1" applyFont="1" applyFill="1" applyAlignment="1">
      <alignment/>
    </xf>
    <xf numFmtId="9" fontId="0" fillId="34" borderId="48" xfId="57" applyFont="1" applyFill="1" applyBorder="1" applyAlignment="1">
      <alignment/>
    </xf>
    <xf numFmtId="0" fontId="1" fillId="46" borderId="11" xfId="52" applyFont="1" applyFill="1" applyBorder="1" applyAlignment="1">
      <alignment horizontal="right" wrapText="1"/>
      <protection/>
    </xf>
    <xf numFmtId="0" fontId="0" fillId="35" borderId="0" xfId="0" applyFill="1" applyAlignment="1">
      <alignment/>
    </xf>
    <xf numFmtId="9" fontId="0" fillId="38" borderId="12" xfId="57" applyFill="1" applyBorder="1" applyAlignment="1">
      <alignment/>
    </xf>
    <xf numFmtId="9" fontId="9" fillId="38" borderId="12" xfId="57" applyFont="1" applyFill="1" applyBorder="1" applyAlignment="1">
      <alignment/>
    </xf>
    <xf numFmtId="2" fontId="1" fillId="47" borderId="11" xfId="53" applyNumberFormat="1" applyFont="1" applyFill="1" applyBorder="1" applyAlignment="1">
      <alignment horizontal="right"/>
      <protection/>
    </xf>
    <xf numFmtId="4" fontId="1" fillId="47" borderId="11" xfId="53" applyNumberFormat="1" applyFont="1" applyFill="1" applyBorder="1" applyAlignment="1">
      <alignment horizontal="right"/>
      <protection/>
    </xf>
    <xf numFmtId="0" fontId="1" fillId="47" borderId="11" xfId="50" applyFont="1" applyFill="1" applyBorder="1" applyAlignment="1">
      <alignment horizontal="right" wrapText="1"/>
      <protection/>
    </xf>
    <xf numFmtId="2" fontId="1" fillId="47" borderId="72" xfId="53" applyNumberFormat="1" applyFont="1" applyFill="1" applyBorder="1" applyAlignment="1">
      <alignment horizontal="right"/>
      <protection/>
    </xf>
    <xf numFmtId="4" fontId="1" fillId="47" borderId="72" xfId="53" applyNumberFormat="1" applyFont="1" applyFill="1" applyBorder="1" applyAlignment="1">
      <alignment horizontal="right"/>
      <protection/>
    </xf>
    <xf numFmtId="0" fontId="1" fillId="47" borderId="72" xfId="50" applyFont="1" applyFill="1" applyBorder="1" applyAlignment="1">
      <alignment horizontal="right" wrapText="1"/>
      <protection/>
    </xf>
    <xf numFmtId="2" fontId="1" fillId="47" borderId="67" xfId="53" applyNumberFormat="1" applyFont="1" applyFill="1" applyBorder="1" applyAlignment="1">
      <alignment horizontal="right"/>
      <protection/>
    </xf>
    <xf numFmtId="0" fontId="9" fillId="0" borderId="67" xfId="0" applyFont="1" applyFill="1" applyBorder="1" applyAlignment="1" applyProtection="1">
      <alignment horizontal="left"/>
      <protection/>
    </xf>
    <xf numFmtId="0" fontId="9" fillId="0" borderId="72" xfId="0" applyFont="1" applyFill="1" applyBorder="1" applyAlignment="1" applyProtection="1">
      <alignment horizontal="center"/>
      <protection/>
    </xf>
    <xf numFmtId="0" fontId="9" fillId="0" borderId="73" xfId="0" applyFont="1" applyFill="1" applyBorder="1" applyAlignment="1" applyProtection="1">
      <alignment horizontal="center"/>
      <protection/>
    </xf>
    <xf numFmtId="169" fontId="36" fillId="0" borderId="0" xfId="48" applyFont="1" applyFill="1" applyBorder="1" applyAlignment="1" applyProtection="1">
      <alignment/>
      <protection/>
    </xf>
    <xf numFmtId="0" fontId="36" fillId="0" borderId="0" xfId="0" applyFont="1" applyFill="1" applyBorder="1" applyAlignment="1" applyProtection="1">
      <alignment/>
      <protection/>
    </xf>
    <xf numFmtId="186" fontId="36" fillId="0" borderId="0" xfId="48" applyNumberFormat="1" applyFont="1" applyFill="1" applyBorder="1" applyAlignment="1" applyProtection="1">
      <alignment/>
      <protection/>
    </xf>
    <xf numFmtId="187" fontId="36" fillId="0" borderId="0" xfId="48" applyNumberFormat="1" applyFont="1" applyFill="1" applyBorder="1" applyAlignment="1" applyProtection="1">
      <alignment/>
      <protection/>
    </xf>
    <xf numFmtId="187" fontId="36" fillId="0" borderId="0" xfId="0" applyNumberFormat="1" applyFont="1" applyFill="1" applyBorder="1" applyAlignment="1" applyProtection="1">
      <alignment/>
      <protection/>
    </xf>
    <xf numFmtId="169" fontId="36" fillId="0" borderId="0" xfId="48" applyFont="1" applyFill="1" applyBorder="1" applyAlignment="1" applyProtection="1">
      <alignment horizontal="left"/>
      <protection/>
    </xf>
    <xf numFmtId="169" fontId="36" fillId="0" borderId="0" xfId="0" applyNumberFormat="1" applyFont="1" applyFill="1" applyBorder="1" applyAlignment="1" applyProtection="1">
      <alignment/>
      <protection/>
    </xf>
    <xf numFmtId="169" fontId="9" fillId="34" borderId="0" xfId="0" applyNumberFormat="1" applyFont="1" applyFill="1" applyBorder="1" applyAlignment="1">
      <alignment horizontal="center"/>
    </xf>
    <xf numFmtId="0" fontId="9" fillId="37" borderId="0" xfId="0" applyFont="1" applyFill="1" applyBorder="1" applyAlignment="1">
      <alignment/>
    </xf>
    <xf numFmtId="0" fontId="1" fillId="48" borderId="11" xfId="53" applyFont="1" applyFill="1" applyBorder="1" applyAlignment="1">
      <alignment horizontal="left"/>
      <protection/>
    </xf>
    <xf numFmtId="2" fontId="1" fillId="48" borderId="11" xfId="53" applyNumberFormat="1" applyFont="1" applyFill="1" applyBorder="1" applyAlignment="1">
      <alignment horizontal="right"/>
      <protection/>
    </xf>
    <xf numFmtId="4" fontId="1" fillId="48" borderId="11" xfId="53" applyNumberFormat="1" applyFont="1" applyFill="1" applyBorder="1" applyAlignment="1">
      <alignment horizontal="right"/>
      <protection/>
    </xf>
    <xf numFmtId="0" fontId="1" fillId="48" borderId="11" xfId="50" applyFont="1" applyFill="1" applyBorder="1" applyAlignment="1">
      <alignment horizontal="right" wrapText="1"/>
      <protection/>
    </xf>
    <xf numFmtId="169" fontId="9" fillId="0" borderId="0" xfId="0" applyNumberFormat="1" applyFont="1" applyFill="1" applyBorder="1" applyAlignment="1">
      <alignment horizontal="center"/>
    </xf>
    <xf numFmtId="198" fontId="9" fillId="34" borderId="39" xfId="0" applyNumberFormat="1" applyFont="1" applyFill="1" applyBorder="1" applyAlignment="1">
      <alignment horizontal="center"/>
    </xf>
    <xf numFmtId="198" fontId="9" fillId="0" borderId="0" xfId="0" applyNumberFormat="1" applyFont="1" applyFill="1" applyBorder="1" applyAlignment="1" applyProtection="1">
      <alignment horizontal="center"/>
      <protection/>
    </xf>
    <xf numFmtId="0" fontId="36" fillId="34" borderId="0" xfId="0" applyFont="1" applyFill="1" applyAlignment="1">
      <alignment/>
    </xf>
    <xf numFmtId="2" fontId="36" fillId="34" borderId="0" xfId="0" applyNumberFormat="1" applyFont="1" applyFill="1" applyAlignment="1">
      <alignment/>
    </xf>
    <xf numFmtId="0" fontId="36" fillId="37" borderId="0" xfId="0" applyFont="1" applyFill="1" applyAlignment="1">
      <alignment/>
    </xf>
    <xf numFmtId="0" fontId="1" fillId="49" borderId="11" xfId="53" applyFont="1" applyFill="1" applyBorder="1" applyAlignment="1">
      <alignment horizontal="left"/>
      <protection/>
    </xf>
    <xf numFmtId="2" fontId="1" fillId="49" borderId="11" xfId="53" applyNumberFormat="1" applyFont="1" applyFill="1" applyBorder="1" applyAlignment="1">
      <alignment horizontal="right"/>
      <protection/>
    </xf>
    <xf numFmtId="4" fontId="1" fillId="49" borderId="11" xfId="53" applyNumberFormat="1" applyFont="1" applyFill="1" applyBorder="1" applyAlignment="1">
      <alignment horizontal="right"/>
      <protection/>
    </xf>
    <xf numFmtId="0" fontId="1" fillId="49" borderId="11" xfId="50" applyFont="1" applyFill="1" applyBorder="1" applyAlignment="1">
      <alignment horizontal="right" wrapText="1"/>
      <protection/>
    </xf>
    <xf numFmtId="0" fontId="36" fillId="49" borderId="11" xfId="54" applyFont="1" applyFill="1" applyBorder="1" applyAlignment="1" quotePrefix="1">
      <alignment horizontal="left"/>
      <protection/>
    </xf>
    <xf numFmtId="0" fontId="36" fillId="49" borderId="11" xfId="54" applyFont="1" applyFill="1" applyBorder="1" applyAlignment="1">
      <alignment horizontal="left"/>
      <protection/>
    </xf>
    <xf numFmtId="2" fontId="36" fillId="37" borderId="11" xfId="54" applyNumberFormat="1" applyFont="1" applyFill="1" applyBorder="1" applyAlignment="1">
      <alignment horizontal="right"/>
      <protection/>
    </xf>
    <xf numFmtId="4" fontId="36" fillId="37" borderId="11" xfId="54" applyNumberFormat="1" applyFont="1" applyFill="1" applyBorder="1" applyAlignment="1">
      <alignment horizontal="right"/>
      <protection/>
    </xf>
    <xf numFmtId="0" fontId="36" fillId="49" borderId="11" xfId="54" applyFont="1" applyFill="1" applyBorder="1" applyAlignment="1" quotePrefix="1">
      <alignment horizontal="left" wrapText="1"/>
      <protection/>
    </xf>
    <xf numFmtId="0" fontId="36" fillId="49" borderId="11" xfId="54" applyFont="1" applyFill="1" applyBorder="1" applyAlignment="1">
      <alignment horizontal="left" wrapText="1"/>
      <protection/>
    </xf>
    <xf numFmtId="2" fontId="1" fillId="50" borderId="11" xfId="53" applyNumberFormat="1" applyFont="1" applyFill="1" applyBorder="1" applyAlignment="1">
      <alignment horizontal="right"/>
      <protection/>
    </xf>
    <xf numFmtId="4" fontId="1" fillId="50" borderId="11" xfId="53" applyNumberFormat="1" applyFont="1" applyFill="1" applyBorder="1" applyAlignment="1">
      <alignment horizontal="right"/>
      <protection/>
    </xf>
    <xf numFmtId="0" fontId="1" fillId="50" borderId="11" xfId="50" applyFont="1" applyFill="1" applyBorder="1" applyAlignment="1">
      <alignment horizontal="right" wrapText="1"/>
      <protection/>
    </xf>
    <xf numFmtId="0" fontId="36" fillId="51" borderId="11" xfId="54" applyFont="1" applyFill="1" applyBorder="1" applyAlignment="1">
      <alignment horizontal="right" wrapText="1"/>
      <protection/>
    </xf>
    <xf numFmtId="0" fontId="0" fillId="0" borderId="33" xfId="0" applyFill="1" applyBorder="1" applyAlignment="1">
      <alignment/>
    </xf>
    <xf numFmtId="1" fontId="36" fillId="0" borderId="12" xfId="51" applyNumberFormat="1" applyFont="1" applyFill="1" applyBorder="1" applyAlignment="1">
      <alignment horizontal="right"/>
      <protection/>
    </xf>
    <xf numFmtId="1" fontId="36" fillId="0" borderId="26" xfId="51" applyNumberFormat="1" applyFont="1" applyFill="1" applyBorder="1" applyAlignment="1">
      <alignment horizontal="right"/>
      <protection/>
    </xf>
    <xf numFmtId="2" fontId="0" fillId="0" borderId="11" xfId="50" applyNumberFormat="1" applyFont="1" applyFill="1" applyBorder="1" applyAlignment="1">
      <alignment horizontal="right" wrapText="1"/>
      <protection/>
    </xf>
    <xf numFmtId="2" fontId="0" fillId="0" borderId="0" xfId="0" applyNumberFormat="1" applyFont="1" applyFill="1" applyAlignment="1">
      <alignment/>
    </xf>
    <xf numFmtId="2" fontId="0" fillId="0" borderId="72" xfId="50" applyNumberFormat="1" applyFont="1" applyFill="1" applyBorder="1" applyAlignment="1">
      <alignment horizontal="right" wrapText="1"/>
      <protection/>
    </xf>
    <xf numFmtId="0" fontId="0" fillId="0" borderId="73" xfId="50" applyFont="1" applyFill="1" applyBorder="1" applyAlignment="1">
      <alignment horizontal="right" wrapText="1"/>
      <protection/>
    </xf>
    <xf numFmtId="2" fontId="0" fillId="0" borderId="73" xfId="50" applyNumberFormat="1" applyFont="1" applyFill="1" applyBorder="1" applyAlignment="1">
      <alignment horizontal="right" wrapText="1"/>
      <protection/>
    </xf>
    <xf numFmtId="0" fontId="0" fillId="0" borderId="0" xfId="50" applyFont="1" applyFill="1" applyBorder="1" applyAlignment="1">
      <alignment horizontal="right" wrapText="1"/>
      <protection/>
    </xf>
    <xf numFmtId="0" fontId="0" fillId="0" borderId="11" xfId="53" applyFont="1" applyFill="1" applyBorder="1" applyAlignment="1">
      <alignment horizontal="left"/>
      <protection/>
    </xf>
    <xf numFmtId="0" fontId="0" fillId="0" borderId="11" xfId="53" applyFont="1" applyFill="1" applyBorder="1" applyAlignment="1" quotePrefix="1">
      <alignment horizontal="left"/>
      <protection/>
    </xf>
    <xf numFmtId="187" fontId="36" fillId="37" borderId="0" xfId="48" applyNumberFormat="1" applyFont="1" applyFill="1" applyBorder="1" applyAlignment="1" applyProtection="1">
      <alignment/>
      <protection/>
    </xf>
    <xf numFmtId="1" fontId="0" fillId="34" borderId="48" xfId="57" applyNumberFormat="1" applyFont="1" applyFill="1" applyBorder="1" applyAlignment="1">
      <alignment/>
    </xf>
    <xf numFmtId="0" fontId="0" fillId="0" borderId="74" xfId="53" applyFont="1" applyFill="1" applyBorder="1" applyAlignment="1">
      <alignment horizontal="left"/>
      <protection/>
    </xf>
    <xf numFmtId="0" fontId="0" fillId="0" borderId="75" xfId="53" applyFont="1" applyFill="1" applyBorder="1" applyAlignment="1">
      <alignment horizontal="left"/>
      <protection/>
    </xf>
    <xf numFmtId="49" fontId="0" fillId="52" borderId="37" xfId="0" applyNumberFormat="1" applyFill="1" applyBorder="1" applyAlignment="1">
      <alignment horizontal="center"/>
    </xf>
    <xf numFmtId="49" fontId="0" fillId="0" borderId="37" xfId="0" applyNumberFormat="1" applyFill="1" applyBorder="1" applyAlignment="1">
      <alignment horizontal="center"/>
    </xf>
    <xf numFmtId="0" fontId="0" fillId="0" borderId="35" xfId="0" applyFill="1" applyBorder="1" applyAlignment="1">
      <alignment/>
    </xf>
    <xf numFmtId="198" fontId="6" fillId="0" borderId="64" xfId="0" applyNumberFormat="1" applyFont="1" applyFill="1" applyBorder="1" applyAlignment="1" applyProtection="1">
      <alignment horizontal="center"/>
      <protection/>
    </xf>
    <xf numFmtId="0" fontId="3" fillId="37" borderId="0" xfId="0" applyFont="1" applyFill="1" applyBorder="1" applyAlignment="1">
      <alignment/>
    </xf>
    <xf numFmtId="49" fontId="0" fillId="52" borderId="0" xfId="0" applyNumberFormat="1" applyFill="1" applyBorder="1" applyAlignment="1">
      <alignment horizontal="center"/>
    </xf>
    <xf numFmtId="49" fontId="0" fillId="0" borderId="37" xfId="0" applyNumberFormat="1" applyFont="1" applyFill="1" applyBorder="1" applyAlignment="1">
      <alignment horizontal="center"/>
    </xf>
    <xf numFmtId="0" fontId="0" fillId="0" borderId="35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187" fontId="0" fillId="0" borderId="0" xfId="48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190" fontId="0" fillId="0" borderId="0" xfId="0" applyNumberFormat="1" applyFont="1" applyFill="1" applyAlignment="1">
      <alignment/>
    </xf>
    <xf numFmtId="186" fontId="0" fillId="0" borderId="0" xfId="48" applyNumberFormat="1" applyFont="1" applyFill="1" applyAlignment="1">
      <alignment/>
    </xf>
    <xf numFmtId="49" fontId="0" fillId="0" borderId="37" xfId="0" applyNumberFormat="1" applyFont="1" applyBorder="1" applyAlignment="1">
      <alignment horizontal="center"/>
    </xf>
    <xf numFmtId="0" fontId="0" fillId="0" borderId="35" xfId="0" applyFont="1" applyBorder="1" applyAlignment="1">
      <alignment/>
    </xf>
    <xf numFmtId="0" fontId="0" fillId="0" borderId="33" xfId="0" applyFont="1" applyBorder="1" applyAlignment="1">
      <alignment/>
    </xf>
    <xf numFmtId="187" fontId="0" fillId="0" borderId="0" xfId="48" applyNumberFormat="1" applyFont="1" applyAlignment="1">
      <alignment/>
    </xf>
    <xf numFmtId="4" fontId="0" fillId="0" borderId="0" xfId="0" applyNumberFormat="1" applyFont="1" applyAlignment="1">
      <alignment/>
    </xf>
    <xf numFmtId="190" fontId="0" fillId="0" borderId="0" xfId="0" applyNumberFormat="1" applyFont="1" applyAlignment="1">
      <alignment/>
    </xf>
    <xf numFmtId="186" fontId="0" fillId="0" borderId="0" xfId="48" applyNumberFormat="1" applyFont="1" applyAlignment="1">
      <alignment/>
    </xf>
    <xf numFmtId="171" fontId="0" fillId="38" borderId="0" xfId="0" applyNumberFormat="1" applyFont="1" applyFill="1" applyAlignment="1">
      <alignment/>
    </xf>
    <xf numFmtId="0" fontId="0" fillId="0" borderId="0" xfId="0" applyFont="1" applyAlignment="1">
      <alignment/>
    </xf>
    <xf numFmtId="190" fontId="0" fillId="33" borderId="0" xfId="0" applyNumberFormat="1" applyFont="1" applyFill="1" applyAlignment="1">
      <alignment/>
    </xf>
    <xf numFmtId="4" fontId="0" fillId="33" borderId="0" xfId="0" applyNumberFormat="1" applyFont="1" applyFill="1" applyAlignment="1">
      <alignment/>
    </xf>
    <xf numFmtId="186" fontId="0" fillId="33" borderId="0" xfId="48" applyNumberFormat="1" applyFont="1" applyFill="1" applyAlignment="1">
      <alignment/>
    </xf>
    <xf numFmtId="0" fontId="0" fillId="33" borderId="0" xfId="0" applyFont="1" applyFill="1" applyAlignment="1">
      <alignment/>
    </xf>
    <xf numFmtId="2" fontId="36" fillId="0" borderId="12" xfId="51" applyNumberFormat="1" applyFont="1" applyFill="1" applyBorder="1" applyAlignment="1">
      <alignment/>
      <protection/>
    </xf>
    <xf numFmtId="2" fontId="1" fillId="0" borderId="14" xfId="54" applyNumberFormat="1" applyFont="1" applyFill="1" applyBorder="1" applyAlignment="1">
      <alignment horizontal="center"/>
      <protection/>
    </xf>
    <xf numFmtId="2" fontId="1" fillId="0" borderId="15" xfId="54" applyNumberFormat="1" applyFont="1" applyFill="1" applyBorder="1" applyAlignment="1">
      <alignment horizontal="center"/>
      <protection/>
    </xf>
    <xf numFmtId="0" fontId="16" fillId="37" borderId="0" xfId="0" applyFont="1" applyFill="1" applyBorder="1" applyAlignment="1" applyProtection="1">
      <alignment horizontal="center"/>
      <protection/>
    </xf>
    <xf numFmtId="0" fontId="16" fillId="37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4" fontId="0" fillId="37" borderId="0" xfId="0" applyNumberFormat="1" applyFill="1" applyBorder="1" applyAlignment="1" applyProtection="1">
      <alignment/>
      <protection/>
    </xf>
    <xf numFmtId="0" fontId="9" fillId="37" borderId="0" xfId="0" applyFont="1" applyFill="1" applyBorder="1" applyAlignment="1" applyProtection="1">
      <alignment/>
      <protection/>
    </xf>
    <xf numFmtId="198" fontId="0" fillId="37" borderId="0" xfId="48" applyNumberFormat="1" applyFont="1" applyFill="1" applyBorder="1" applyAlignment="1" applyProtection="1">
      <alignment/>
      <protection/>
    </xf>
    <xf numFmtId="3" fontId="36" fillId="0" borderId="12" xfId="51" applyNumberFormat="1" applyFont="1" applyFill="1" applyBorder="1" applyAlignment="1">
      <alignment horizontal="right"/>
      <protection/>
    </xf>
    <xf numFmtId="3" fontId="36" fillId="0" borderId="26" xfId="51" applyNumberFormat="1" applyFont="1" applyFill="1" applyBorder="1" applyAlignment="1">
      <alignment horizontal="right"/>
      <protection/>
    </xf>
    <xf numFmtId="0" fontId="22" fillId="0" borderId="76" xfId="0" applyFont="1" applyFill="1" applyBorder="1" applyAlignment="1" applyProtection="1">
      <alignment horizontal="center"/>
      <protection locked="0"/>
    </xf>
    <xf numFmtId="0" fontId="22" fillId="0" borderId="77" xfId="0" applyFont="1" applyFill="1" applyBorder="1" applyAlignment="1" applyProtection="1">
      <alignment horizontal="center"/>
      <protection locked="0"/>
    </xf>
    <xf numFmtId="0" fontId="22" fillId="0" borderId="78" xfId="0" applyFont="1" applyFill="1" applyBorder="1" applyAlignment="1" applyProtection="1">
      <alignment horizontal="center"/>
      <protection locked="0"/>
    </xf>
    <xf numFmtId="0" fontId="20" fillId="37" borderId="21" xfId="0" applyFont="1" applyFill="1" applyBorder="1" applyAlignment="1">
      <alignment horizontal="left" indent="1"/>
    </xf>
    <xf numFmtId="0" fontId="20" fillId="37" borderId="0" xfId="0" applyFont="1" applyFill="1" applyBorder="1" applyAlignment="1">
      <alignment horizontal="left" indent="1"/>
    </xf>
    <xf numFmtId="0" fontId="20" fillId="37" borderId="33" xfId="0" applyFont="1" applyFill="1" applyBorder="1" applyAlignment="1">
      <alignment horizontal="left" indent="1"/>
    </xf>
    <xf numFmtId="0" fontId="22" fillId="0" borderId="76" xfId="0" applyFont="1" applyFill="1" applyBorder="1" applyAlignment="1" applyProtection="1">
      <alignment horizontal="left"/>
      <protection locked="0"/>
    </xf>
    <xf numFmtId="0" fontId="22" fillId="0" borderId="77" xfId="0" applyFont="1" applyFill="1" applyBorder="1" applyAlignment="1" applyProtection="1">
      <alignment horizontal="left"/>
      <protection locked="0"/>
    </xf>
    <xf numFmtId="0" fontId="22" fillId="0" borderId="78" xfId="0" applyFont="1" applyFill="1" applyBorder="1" applyAlignment="1" applyProtection="1">
      <alignment horizontal="left"/>
      <protection locked="0"/>
    </xf>
    <xf numFmtId="14" fontId="22" fillId="0" borderId="76" xfId="0" applyNumberFormat="1" applyFont="1" applyFill="1" applyBorder="1" applyAlignment="1" applyProtection="1">
      <alignment horizontal="left"/>
      <protection locked="0"/>
    </xf>
    <xf numFmtId="14" fontId="22" fillId="0" borderId="77" xfId="0" applyNumberFormat="1" applyFont="1" applyFill="1" applyBorder="1" applyAlignment="1" applyProtection="1">
      <alignment horizontal="left"/>
      <protection locked="0"/>
    </xf>
    <xf numFmtId="14" fontId="22" fillId="0" borderId="78" xfId="0" applyNumberFormat="1" applyFont="1" applyFill="1" applyBorder="1" applyAlignment="1" applyProtection="1">
      <alignment horizontal="left"/>
      <protection locked="0"/>
    </xf>
    <xf numFmtId="0" fontId="20" fillId="37" borderId="21" xfId="0" applyFont="1" applyFill="1" applyBorder="1" applyAlignment="1">
      <alignment horizontal="center"/>
    </xf>
    <xf numFmtId="0" fontId="20" fillId="37" borderId="33" xfId="0" applyFont="1" applyFill="1" applyBorder="1" applyAlignment="1">
      <alignment horizontal="center"/>
    </xf>
    <xf numFmtId="49" fontId="22" fillId="0" borderId="76" xfId="0" applyNumberFormat="1" applyFont="1" applyFill="1" applyBorder="1" applyAlignment="1" applyProtection="1">
      <alignment horizontal="left"/>
      <protection locked="0"/>
    </xf>
    <xf numFmtId="49" fontId="22" fillId="0" borderId="77" xfId="0" applyNumberFormat="1" applyFont="1" applyFill="1" applyBorder="1" applyAlignment="1" applyProtection="1">
      <alignment horizontal="left"/>
      <protection locked="0"/>
    </xf>
    <xf numFmtId="49" fontId="22" fillId="0" borderId="78" xfId="0" applyNumberFormat="1" applyFont="1" applyFill="1" applyBorder="1" applyAlignment="1" applyProtection="1">
      <alignment horizontal="left"/>
      <protection locked="0"/>
    </xf>
    <xf numFmtId="0" fontId="20" fillId="37" borderId="0" xfId="0" applyFont="1" applyFill="1" applyAlignment="1">
      <alignment horizontal="left"/>
    </xf>
    <xf numFmtId="0" fontId="20" fillId="37" borderId="33" xfId="0" applyFont="1" applyFill="1" applyBorder="1" applyAlignment="1">
      <alignment horizontal="left"/>
    </xf>
    <xf numFmtId="0" fontId="23" fillId="0" borderId="76" xfId="36" applyFill="1" applyBorder="1" applyAlignment="1" applyProtection="1">
      <alignment horizontal="left"/>
      <protection locked="0"/>
    </xf>
    <xf numFmtId="0" fontId="23" fillId="0" borderId="77" xfId="36" applyFill="1" applyBorder="1" applyAlignment="1" applyProtection="1">
      <alignment horizontal="left"/>
      <protection locked="0"/>
    </xf>
    <xf numFmtId="0" fontId="23" fillId="0" borderId="78" xfId="36" applyFill="1" applyBorder="1" applyAlignment="1" applyProtection="1">
      <alignment horizontal="left"/>
      <protection locked="0"/>
    </xf>
    <xf numFmtId="0" fontId="3" fillId="37" borderId="0" xfId="0" applyFont="1" applyFill="1" applyBorder="1" applyAlignment="1">
      <alignment horizontal="center"/>
    </xf>
    <xf numFmtId="169" fontId="9" fillId="34" borderId="0" xfId="0" applyNumberFormat="1" applyFont="1" applyFill="1" applyBorder="1" applyAlignment="1">
      <alignment horizontal="center"/>
    </xf>
    <xf numFmtId="0" fontId="15" fillId="0" borderId="79" xfId="0" applyFont="1" applyFill="1" applyBorder="1" applyAlignment="1" applyProtection="1">
      <alignment horizontal="center" vertical="center" wrapText="1"/>
      <protection/>
    </xf>
    <xf numFmtId="0" fontId="15" fillId="0" borderId="56" xfId="0" applyFont="1" applyFill="1" applyBorder="1" applyAlignment="1" applyProtection="1">
      <alignment horizontal="center" vertical="center" wrapText="1"/>
      <protection/>
    </xf>
    <xf numFmtId="0" fontId="15" fillId="0" borderId="80" xfId="0" applyFont="1" applyFill="1" applyBorder="1" applyAlignment="1" applyProtection="1">
      <alignment horizontal="center" vertical="center" wrapText="1"/>
      <protection/>
    </xf>
    <xf numFmtId="49" fontId="15" fillId="0" borderId="38" xfId="0" applyNumberFormat="1" applyFont="1" applyBorder="1" applyAlignment="1">
      <alignment horizontal="center" vertical="center"/>
    </xf>
    <xf numFmtId="49" fontId="15" fillId="0" borderId="40" xfId="0" applyNumberFormat="1" applyFont="1" applyBorder="1" applyAlignment="1">
      <alignment horizontal="center" vertical="center"/>
    </xf>
    <xf numFmtId="0" fontId="15" fillId="0" borderId="40" xfId="0" applyFont="1" applyBorder="1" applyAlignment="1">
      <alignment horizontal="left"/>
    </xf>
    <xf numFmtId="49" fontId="15" fillId="0" borderId="81" xfId="0" applyNumberFormat="1" applyFont="1" applyBorder="1" applyAlignment="1" applyProtection="1">
      <alignment horizontal="center" vertical="center"/>
      <protection/>
    </xf>
    <xf numFmtId="49" fontId="15" fillId="0" borderId="55" xfId="0" applyNumberFormat="1" applyFont="1" applyBorder="1" applyAlignment="1" applyProtection="1">
      <alignment horizontal="center" vertical="center"/>
      <protection/>
    </xf>
    <xf numFmtId="49" fontId="15" fillId="0" borderId="64" xfId="0" applyNumberFormat="1" applyFont="1" applyBorder="1" applyAlignment="1" applyProtection="1">
      <alignment horizontal="center" vertical="center"/>
      <protection/>
    </xf>
    <xf numFmtId="49" fontId="15" fillId="0" borderId="0" xfId="0" applyNumberFormat="1" applyFont="1" applyBorder="1" applyAlignment="1" applyProtection="1">
      <alignment horizontal="center" vertical="center"/>
      <protection/>
    </xf>
    <xf numFmtId="49" fontId="15" fillId="0" borderId="57" xfId="0" applyNumberFormat="1" applyFont="1" applyBorder="1" applyAlignment="1" applyProtection="1">
      <alignment horizontal="center" vertical="center"/>
      <protection/>
    </xf>
    <xf numFmtId="49" fontId="15" fillId="0" borderId="58" xfId="0" applyNumberFormat="1" applyFont="1" applyBorder="1" applyAlignment="1" applyProtection="1">
      <alignment horizontal="center" vertical="center"/>
      <protection/>
    </xf>
    <xf numFmtId="0" fontId="31" fillId="0" borderId="0" xfId="0" applyFont="1" applyFill="1" applyBorder="1" applyAlignment="1" applyProtection="1">
      <alignment horizontal="center" vertical="center"/>
      <protection/>
    </xf>
    <xf numFmtId="49" fontId="15" fillId="0" borderId="40" xfId="0" applyNumberFormat="1" applyFont="1" applyBorder="1" applyAlignment="1" applyProtection="1">
      <alignment horizontal="center" vertical="center"/>
      <protection/>
    </xf>
    <xf numFmtId="49" fontId="15" fillId="0" borderId="54" xfId="0" applyNumberFormat="1" applyFont="1" applyBorder="1" applyAlignment="1" applyProtection="1">
      <alignment horizontal="center" vertical="center"/>
      <protection/>
    </xf>
    <xf numFmtId="0" fontId="0" fillId="0" borderId="40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49" fontId="15" fillId="44" borderId="0" xfId="0" applyNumberFormat="1" applyFont="1" applyFill="1" applyBorder="1" applyAlignment="1">
      <alignment horizontal="left" vertical="center"/>
    </xf>
    <xf numFmtId="189" fontId="6" fillId="34" borderId="64" xfId="46" applyNumberFormat="1" applyFont="1" applyFill="1" applyBorder="1" applyAlignment="1">
      <alignment horizontal="left" vertical="top" wrapText="1"/>
    </xf>
    <xf numFmtId="189" fontId="6" fillId="34" borderId="0" xfId="46" applyNumberFormat="1" applyFont="1" applyFill="1" applyBorder="1" applyAlignment="1">
      <alignment horizontal="left" vertical="top" wrapText="1"/>
    </xf>
    <xf numFmtId="49" fontId="32" fillId="44" borderId="40" xfId="0" applyNumberFormat="1" applyFont="1" applyFill="1" applyBorder="1" applyAlignment="1">
      <alignment horizontal="center" vertical="center" wrapText="1"/>
    </xf>
    <xf numFmtId="49" fontId="39" fillId="44" borderId="0" xfId="0" applyNumberFormat="1" applyFont="1" applyFill="1" applyBorder="1" applyAlignment="1">
      <alignment horizontal="center" vertical="center" wrapText="1"/>
    </xf>
    <xf numFmtId="192" fontId="0" fillId="35" borderId="82" xfId="46" applyNumberFormat="1" applyFont="1" applyFill="1" applyBorder="1" applyAlignment="1" applyProtection="1">
      <alignment horizontal="right"/>
      <protection locked="0"/>
    </xf>
    <xf numFmtId="192" fontId="0" fillId="35" borderId="83" xfId="46" applyNumberFormat="1" applyFont="1" applyFill="1" applyBorder="1" applyAlignment="1" applyProtection="1">
      <alignment horizontal="right"/>
      <protection locked="0"/>
    </xf>
    <xf numFmtId="192" fontId="0" fillId="35" borderId="84" xfId="46" applyNumberFormat="1" applyFont="1" applyFill="1" applyBorder="1" applyAlignment="1" applyProtection="1">
      <alignment horizontal="right"/>
      <protection locked="0"/>
    </xf>
    <xf numFmtId="0" fontId="0" fillId="44" borderId="0" xfId="0" applyFill="1" applyAlignment="1">
      <alignment horizontal="left"/>
    </xf>
    <xf numFmtId="189" fontId="0" fillId="35" borderId="82" xfId="46" applyNumberFormat="1" applyFont="1" applyFill="1" applyBorder="1" applyAlignment="1" applyProtection="1">
      <alignment horizontal="center"/>
      <protection locked="0"/>
    </xf>
    <xf numFmtId="189" fontId="0" fillId="35" borderId="83" xfId="46" applyNumberFormat="1" applyFont="1" applyFill="1" applyBorder="1" applyAlignment="1" applyProtection="1">
      <alignment horizontal="center"/>
      <protection locked="0"/>
    </xf>
    <xf numFmtId="189" fontId="0" fillId="35" borderId="84" xfId="46" applyNumberFormat="1" applyFont="1" applyFill="1" applyBorder="1" applyAlignment="1" applyProtection="1">
      <alignment horizontal="center"/>
      <protection locked="0"/>
    </xf>
    <xf numFmtId="49" fontId="15" fillId="44" borderId="0" xfId="0" applyNumberFormat="1" applyFont="1" applyFill="1" applyBorder="1" applyAlignment="1">
      <alignment horizontal="left" vertical="top"/>
    </xf>
    <xf numFmtId="49" fontId="15" fillId="44" borderId="56" xfId="0" applyNumberFormat="1" applyFont="1" applyFill="1" applyBorder="1" applyAlignment="1">
      <alignment horizontal="left" vertical="top"/>
    </xf>
    <xf numFmtId="189" fontId="6" fillId="34" borderId="82" xfId="46" applyNumberFormat="1" applyFont="1" applyFill="1" applyBorder="1" applyAlignment="1">
      <alignment horizontal="center"/>
    </xf>
    <xf numFmtId="189" fontId="6" fillId="34" borderId="83" xfId="46" applyNumberFormat="1" applyFont="1" applyFill="1" applyBorder="1" applyAlignment="1">
      <alignment horizontal="center"/>
    </xf>
    <xf numFmtId="189" fontId="6" fillId="34" borderId="84" xfId="46" applyNumberFormat="1" applyFont="1" applyFill="1" applyBorder="1" applyAlignment="1">
      <alignment horizontal="center"/>
    </xf>
    <xf numFmtId="0" fontId="15" fillId="44" borderId="0" xfId="54" applyFont="1" applyFill="1" applyBorder="1" applyAlignment="1">
      <alignment horizontal="center"/>
      <protection/>
    </xf>
    <xf numFmtId="0" fontId="15" fillId="44" borderId="0" xfId="54" applyFont="1" applyFill="1" applyBorder="1" applyAlignment="1">
      <alignment horizontal="left"/>
      <protection/>
    </xf>
    <xf numFmtId="0" fontId="15" fillId="44" borderId="0" xfId="0" applyFont="1" applyFill="1" applyAlignment="1">
      <alignment horizontal="left"/>
    </xf>
    <xf numFmtId="0" fontId="3" fillId="34" borderId="0" xfId="0" applyFont="1" applyFill="1" applyBorder="1" applyAlignment="1">
      <alignment horizontal="left"/>
    </xf>
    <xf numFmtId="49" fontId="15" fillId="44" borderId="81" xfId="0" applyNumberFormat="1" applyFont="1" applyFill="1" applyBorder="1" applyAlignment="1">
      <alignment horizontal="center" vertical="center"/>
    </xf>
    <xf numFmtId="49" fontId="15" fillId="44" borderId="55" xfId="0" applyNumberFormat="1" applyFont="1" applyFill="1" applyBorder="1" applyAlignment="1">
      <alignment horizontal="center" vertical="center"/>
    </xf>
    <xf numFmtId="49" fontId="15" fillId="44" borderId="57" xfId="0" applyNumberFormat="1" applyFont="1" applyFill="1" applyBorder="1" applyAlignment="1">
      <alignment horizontal="center" vertical="center"/>
    </xf>
    <xf numFmtId="49" fontId="15" fillId="44" borderId="58" xfId="0" applyNumberFormat="1" applyFont="1" applyFill="1" applyBorder="1" applyAlignment="1">
      <alignment horizontal="center" vertical="center"/>
    </xf>
    <xf numFmtId="49" fontId="15" fillId="44" borderId="55" xfId="0" applyNumberFormat="1" applyFont="1" applyFill="1" applyBorder="1" applyAlignment="1">
      <alignment horizontal="center" vertical="center" wrapText="1"/>
    </xf>
    <xf numFmtId="49" fontId="15" fillId="44" borderId="79" xfId="0" applyNumberFormat="1" applyFont="1" applyFill="1" applyBorder="1" applyAlignment="1">
      <alignment horizontal="center" vertical="center"/>
    </xf>
    <xf numFmtId="49" fontId="15" fillId="44" borderId="0" xfId="0" applyNumberFormat="1" applyFont="1" applyFill="1" applyBorder="1" applyAlignment="1">
      <alignment horizontal="center" vertical="center" wrapText="1"/>
    </xf>
    <xf numFmtId="49" fontId="15" fillId="44" borderId="0" xfId="0" applyNumberFormat="1" applyFont="1" applyFill="1" applyBorder="1" applyAlignment="1">
      <alignment horizontal="center" vertical="center"/>
    </xf>
    <xf numFmtId="49" fontId="15" fillId="44" borderId="56" xfId="0" applyNumberFormat="1" applyFont="1" applyFill="1" applyBorder="1" applyAlignment="1">
      <alignment horizontal="center" vertical="center"/>
    </xf>
    <xf numFmtId="49" fontId="15" fillId="44" borderId="80" xfId="0" applyNumberFormat="1" applyFont="1" applyFill="1" applyBorder="1" applyAlignment="1">
      <alignment horizontal="center" vertical="center"/>
    </xf>
    <xf numFmtId="49" fontId="15" fillId="44" borderId="38" xfId="0" applyNumberFormat="1" applyFont="1" applyFill="1" applyBorder="1" applyAlignment="1" applyProtection="1">
      <alignment horizontal="left" vertical="center" indent="1"/>
      <protection/>
    </xf>
    <xf numFmtId="49" fontId="15" fillId="44" borderId="40" xfId="0" applyNumberFormat="1" applyFont="1" applyFill="1" applyBorder="1" applyAlignment="1" applyProtection="1">
      <alignment horizontal="left" vertical="center" indent="1"/>
      <protection/>
    </xf>
    <xf numFmtId="49" fontId="15" fillId="44" borderId="54" xfId="0" applyNumberFormat="1" applyFont="1" applyFill="1" applyBorder="1" applyAlignment="1" applyProtection="1">
      <alignment horizontal="left" vertical="center" indent="1"/>
      <protection/>
    </xf>
    <xf numFmtId="49" fontId="15" fillId="44" borderId="55" xfId="0" applyNumberFormat="1" applyFont="1" applyFill="1" applyBorder="1" applyAlignment="1" applyProtection="1">
      <alignment horizontal="center" vertical="center" wrapText="1"/>
      <protection/>
    </xf>
    <xf numFmtId="49" fontId="15" fillId="44" borderId="58" xfId="0" applyNumberFormat="1" applyFont="1" applyFill="1" applyBorder="1" applyAlignment="1" applyProtection="1">
      <alignment horizontal="center" vertical="center" wrapText="1"/>
      <protection/>
    </xf>
    <xf numFmtId="0" fontId="15" fillId="44" borderId="55" xfId="0" applyFont="1" applyFill="1" applyBorder="1" applyAlignment="1" applyProtection="1">
      <alignment horizontal="center" wrapText="1"/>
      <protection/>
    </xf>
    <xf numFmtId="0" fontId="15" fillId="44" borderId="58" xfId="0" applyFont="1" applyFill="1" applyBorder="1" applyAlignment="1" applyProtection="1">
      <alignment horizontal="center" wrapText="1"/>
      <protection/>
    </xf>
    <xf numFmtId="49" fontId="15" fillId="44" borderId="81" xfId="0" applyNumberFormat="1" applyFont="1" applyFill="1" applyBorder="1" applyAlignment="1" applyProtection="1">
      <alignment horizontal="center" vertical="center"/>
      <protection/>
    </xf>
    <xf numFmtId="49" fontId="15" fillId="44" borderId="55" xfId="0" applyNumberFormat="1" applyFont="1" applyFill="1" applyBorder="1" applyAlignment="1" applyProtection="1">
      <alignment horizontal="center" vertical="center"/>
      <protection/>
    </xf>
    <xf numFmtId="49" fontId="15" fillId="44" borderId="57" xfId="0" applyNumberFormat="1" applyFont="1" applyFill="1" applyBorder="1" applyAlignment="1" applyProtection="1">
      <alignment horizontal="center" vertical="center"/>
      <protection/>
    </xf>
    <xf numFmtId="49" fontId="15" fillId="44" borderId="58" xfId="0" applyNumberFormat="1" applyFont="1" applyFill="1" applyBorder="1" applyAlignment="1" applyProtection="1">
      <alignment horizontal="center" vertical="center"/>
      <protection/>
    </xf>
    <xf numFmtId="49" fontId="15" fillId="44" borderId="85" xfId="0" applyNumberFormat="1" applyFont="1" applyFill="1" applyBorder="1" applyAlignment="1">
      <alignment horizontal="center" vertical="center"/>
    </xf>
    <xf numFmtId="49" fontId="15" fillId="44" borderId="38" xfId="0" applyNumberFormat="1" applyFont="1" applyFill="1" applyBorder="1" applyAlignment="1">
      <alignment horizontal="left" vertical="center"/>
    </xf>
    <xf numFmtId="49" fontId="15" fillId="44" borderId="40" xfId="0" applyNumberFormat="1" applyFont="1" applyFill="1" applyBorder="1" applyAlignment="1">
      <alignment horizontal="left" vertical="center"/>
    </xf>
    <xf numFmtId="49" fontId="15" fillId="44" borderId="54" xfId="0" applyNumberFormat="1" applyFont="1" applyFill="1" applyBorder="1" applyAlignment="1">
      <alignment horizontal="left" vertical="center"/>
    </xf>
    <xf numFmtId="49" fontId="15" fillId="44" borderId="38" xfId="0" applyNumberFormat="1" applyFont="1" applyFill="1" applyBorder="1" applyAlignment="1" applyProtection="1">
      <alignment horizontal="left" vertical="center"/>
      <protection/>
    </xf>
    <xf numFmtId="49" fontId="15" fillId="44" borderId="40" xfId="0" applyNumberFormat="1" applyFont="1" applyFill="1" applyBorder="1" applyAlignment="1" applyProtection="1">
      <alignment horizontal="left" vertical="center"/>
      <protection/>
    </xf>
    <xf numFmtId="49" fontId="15" fillId="44" borderId="54" xfId="0" applyNumberFormat="1" applyFont="1" applyFill="1" applyBorder="1" applyAlignment="1" applyProtection="1">
      <alignment horizontal="left" vertical="center"/>
      <protection/>
    </xf>
    <xf numFmtId="49" fontId="15" fillId="44" borderId="40" xfId="0" applyNumberFormat="1" applyFont="1" applyFill="1" applyBorder="1" applyAlignment="1" applyProtection="1">
      <alignment horizontal="center" vertical="center"/>
      <protection/>
    </xf>
    <xf numFmtId="49" fontId="15" fillId="44" borderId="79" xfId="0" applyNumberFormat="1" applyFont="1" applyFill="1" applyBorder="1" applyAlignment="1" applyProtection="1">
      <alignment horizontal="center" vertical="center"/>
      <protection/>
    </xf>
    <xf numFmtId="49" fontId="15" fillId="44" borderId="80" xfId="0" applyNumberFormat="1" applyFont="1" applyFill="1" applyBorder="1" applyAlignment="1" applyProtection="1">
      <alignment horizontal="center" vertical="center"/>
      <protection/>
    </xf>
    <xf numFmtId="49" fontId="15" fillId="44" borderId="58" xfId="0" applyNumberFormat="1" applyFont="1" applyFill="1" applyBorder="1" applyAlignment="1">
      <alignment horizontal="left" vertical="center"/>
    </xf>
    <xf numFmtId="49" fontId="15" fillId="44" borderId="0" xfId="0" applyNumberFormat="1" applyFont="1" applyFill="1" applyBorder="1" applyAlignment="1">
      <alignment vertical="top"/>
    </xf>
    <xf numFmtId="49" fontId="15" fillId="44" borderId="56" xfId="0" applyNumberFormat="1" applyFont="1" applyFill="1" applyBorder="1" applyAlignment="1">
      <alignment vertical="top"/>
    </xf>
    <xf numFmtId="49" fontId="32" fillId="44" borderId="55" xfId="0" applyNumberFormat="1" applyFont="1" applyFill="1" applyBorder="1" applyAlignment="1" applyProtection="1">
      <alignment horizontal="center" vertical="center" wrapText="1"/>
      <protection/>
    </xf>
    <xf numFmtId="49" fontId="32" fillId="44" borderId="58" xfId="0" applyNumberFormat="1" applyFont="1" applyFill="1" applyBorder="1" applyAlignment="1" applyProtection="1">
      <alignment horizontal="center" vertical="center" wrapText="1"/>
      <protection/>
    </xf>
    <xf numFmtId="49" fontId="38" fillId="44" borderId="55" xfId="0" applyNumberFormat="1" applyFont="1" applyFill="1" applyBorder="1" applyAlignment="1" applyProtection="1">
      <alignment horizontal="center" vertical="center" wrapText="1"/>
      <protection/>
    </xf>
    <xf numFmtId="49" fontId="38" fillId="44" borderId="58" xfId="0" applyNumberFormat="1" applyFont="1" applyFill="1" applyBorder="1" applyAlignment="1" applyProtection="1">
      <alignment horizontal="center" vertical="center" wrapText="1"/>
      <protection/>
    </xf>
    <xf numFmtId="0" fontId="9" fillId="33" borderId="14" xfId="0" applyFont="1" applyFill="1" applyBorder="1" applyAlignment="1" applyProtection="1">
      <alignment horizontal="left"/>
      <protection/>
    </xf>
    <xf numFmtId="0" fontId="9" fillId="33" borderId="15" xfId="0" applyFont="1" applyFill="1" applyBorder="1" applyAlignment="1" applyProtection="1">
      <alignment horizontal="left"/>
      <protection/>
    </xf>
    <xf numFmtId="0" fontId="9" fillId="33" borderId="16" xfId="0" applyFont="1" applyFill="1" applyBorder="1" applyAlignment="1" applyProtection="1">
      <alignment horizontal="left"/>
      <protection/>
    </xf>
    <xf numFmtId="169" fontId="3" fillId="34" borderId="86" xfId="48" applyNumberFormat="1" applyFont="1" applyFill="1" applyBorder="1" applyAlignment="1" applyProtection="1">
      <alignment horizontal="left" indent="6"/>
      <protection/>
    </xf>
    <xf numFmtId="169" fontId="3" fillId="34" borderId="87" xfId="48" applyNumberFormat="1" applyFont="1" applyFill="1" applyBorder="1" applyAlignment="1" applyProtection="1">
      <alignment horizontal="left" indent="6"/>
      <protection/>
    </xf>
    <xf numFmtId="169" fontId="3" fillId="34" borderId="88" xfId="48" applyNumberFormat="1" applyFont="1" applyFill="1" applyBorder="1" applyAlignment="1" applyProtection="1">
      <alignment horizontal="center"/>
      <protection/>
    </xf>
    <xf numFmtId="169" fontId="3" fillId="34" borderId="89" xfId="48" applyNumberFormat="1" applyFont="1" applyFill="1" applyBorder="1" applyAlignment="1" applyProtection="1">
      <alignment horizontal="center"/>
      <protection/>
    </xf>
    <xf numFmtId="0" fontId="42" fillId="42" borderId="44" xfId="0" applyFont="1" applyFill="1" applyBorder="1" applyAlignment="1" applyProtection="1">
      <alignment horizontal="left" vertical="center"/>
      <protection/>
    </xf>
    <xf numFmtId="0" fontId="42" fillId="42" borderId="46" xfId="0" applyFont="1" applyFill="1" applyBorder="1" applyAlignment="1" applyProtection="1">
      <alignment horizontal="left" vertical="center"/>
      <protection/>
    </xf>
    <xf numFmtId="194" fontId="35" fillId="43" borderId="90" xfId="48" applyNumberFormat="1" applyFont="1" applyFill="1" applyBorder="1" applyAlignment="1" applyProtection="1">
      <alignment horizontal="center" vertical="center"/>
      <protection/>
    </xf>
    <xf numFmtId="194" fontId="35" fillId="43" borderId="91" xfId="48" applyNumberFormat="1" applyFont="1" applyFill="1" applyBorder="1" applyAlignment="1" applyProtection="1">
      <alignment horizontal="center" vertical="center"/>
      <protection/>
    </xf>
    <xf numFmtId="194" fontId="35" fillId="43" borderId="92" xfId="48" applyNumberFormat="1" applyFont="1" applyFill="1" applyBorder="1" applyAlignment="1" applyProtection="1">
      <alignment horizontal="center" vertical="center"/>
      <protection/>
    </xf>
    <xf numFmtId="194" fontId="35" fillId="43" borderId="86" xfId="48" applyNumberFormat="1" applyFont="1" applyFill="1" applyBorder="1" applyAlignment="1" applyProtection="1">
      <alignment horizontal="center" vertical="center"/>
      <protection/>
    </xf>
    <xf numFmtId="194" fontId="35" fillId="43" borderId="93" xfId="48" applyNumberFormat="1" applyFont="1" applyFill="1" applyBorder="1" applyAlignment="1" applyProtection="1">
      <alignment horizontal="center" vertical="center"/>
      <protection/>
    </xf>
    <xf numFmtId="194" fontId="35" fillId="43" borderId="87" xfId="48" applyNumberFormat="1" applyFont="1" applyFill="1" applyBorder="1" applyAlignment="1" applyProtection="1">
      <alignment horizontal="center" vertical="center"/>
      <protection/>
    </xf>
    <xf numFmtId="0" fontId="34" fillId="33" borderId="14" xfId="0" applyFont="1" applyFill="1" applyBorder="1" applyAlignment="1" applyProtection="1">
      <alignment horizontal="center"/>
      <protection/>
    </xf>
    <xf numFmtId="0" fontId="34" fillId="33" borderId="94" xfId="0" applyFont="1" applyFill="1" applyBorder="1" applyAlignment="1" applyProtection="1">
      <alignment horizontal="center"/>
      <protection/>
    </xf>
    <xf numFmtId="169" fontId="3" fillId="34" borderId="95" xfId="48" applyNumberFormat="1" applyFont="1" applyFill="1" applyBorder="1" applyAlignment="1" applyProtection="1">
      <alignment horizontal="left" indent="3"/>
      <protection/>
    </xf>
    <xf numFmtId="169" fontId="3" fillId="34" borderId="96" xfId="48" applyNumberFormat="1" applyFont="1" applyFill="1" applyBorder="1" applyAlignment="1" applyProtection="1">
      <alignment horizontal="left" indent="3"/>
      <protection/>
    </xf>
    <xf numFmtId="169" fontId="3" fillId="34" borderId="97" xfId="48" applyNumberFormat="1" applyFont="1" applyFill="1" applyBorder="1" applyAlignment="1" applyProtection="1">
      <alignment horizontal="left" indent="6"/>
      <protection/>
    </xf>
    <xf numFmtId="169" fontId="3" fillId="34" borderId="98" xfId="48" applyNumberFormat="1" applyFont="1" applyFill="1" applyBorder="1" applyAlignment="1" applyProtection="1">
      <alignment horizontal="left" indent="6"/>
      <protection/>
    </xf>
    <xf numFmtId="0" fontId="8" fillId="53" borderId="99" xfId="0" applyFont="1" applyFill="1" applyBorder="1" applyAlignment="1">
      <alignment horizontal="center"/>
    </xf>
    <xf numFmtId="0" fontId="8" fillId="53" borderId="100" xfId="0" applyFont="1" applyFill="1" applyBorder="1" applyAlignment="1">
      <alignment horizontal="center"/>
    </xf>
    <xf numFmtId="0" fontId="8" fillId="53" borderId="101" xfId="0" applyFont="1" applyFill="1" applyBorder="1" applyAlignment="1">
      <alignment horizontal="center"/>
    </xf>
    <xf numFmtId="0" fontId="1" fillId="33" borderId="102" xfId="54" applyFont="1" applyFill="1" applyBorder="1" applyAlignment="1">
      <alignment horizontal="center" vertical="center"/>
      <protection/>
    </xf>
    <xf numFmtId="0" fontId="1" fillId="33" borderId="103" xfId="54" applyFont="1" applyFill="1" applyBorder="1" applyAlignment="1">
      <alignment horizontal="center" vertical="center"/>
      <protection/>
    </xf>
    <xf numFmtId="0" fontId="1" fillId="35" borderId="104" xfId="54" applyFont="1" applyFill="1" applyBorder="1" applyAlignment="1">
      <alignment horizontal="left"/>
      <protection/>
    </xf>
    <xf numFmtId="0" fontId="1" fillId="35" borderId="16" xfId="54" applyFont="1" applyFill="1" applyBorder="1" applyAlignment="1">
      <alignment horizontal="left"/>
      <protection/>
    </xf>
    <xf numFmtId="0" fontId="1" fillId="33" borderId="12" xfId="51" applyFont="1" applyFill="1" applyBorder="1" applyAlignment="1">
      <alignment horizontal="center"/>
      <protection/>
    </xf>
    <xf numFmtId="0" fontId="1" fillId="33" borderId="26" xfId="51" applyFont="1" applyFill="1" applyBorder="1" applyAlignment="1">
      <alignment horizontal="center"/>
      <protection/>
    </xf>
    <xf numFmtId="0" fontId="1" fillId="33" borderId="105" xfId="51" applyFont="1" applyFill="1" applyBorder="1" applyAlignment="1">
      <alignment horizontal="center"/>
      <protection/>
    </xf>
    <xf numFmtId="0" fontId="0" fillId="0" borderId="31" xfId="0" applyBorder="1" applyAlignment="1">
      <alignment horizontal="center"/>
    </xf>
    <xf numFmtId="0" fontId="1" fillId="33" borderId="43" xfId="54" applyFont="1" applyFill="1" applyBorder="1" applyAlignment="1">
      <alignment horizontal="center"/>
      <protection/>
    </xf>
    <xf numFmtId="0" fontId="1" fillId="33" borderId="106" xfId="54" applyFont="1" applyFill="1" applyBorder="1" applyAlignment="1">
      <alignment horizontal="center"/>
      <protection/>
    </xf>
    <xf numFmtId="0" fontId="1" fillId="33" borderId="107" xfId="54" applyFont="1" applyFill="1" applyBorder="1" applyAlignment="1">
      <alignment horizontal="center"/>
      <protection/>
    </xf>
    <xf numFmtId="0" fontId="1" fillId="33" borderId="35" xfId="51" applyFont="1" applyFill="1" applyBorder="1" applyAlignment="1">
      <alignment horizontal="center"/>
      <protection/>
    </xf>
    <xf numFmtId="0" fontId="1" fillId="33" borderId="0" xfId="51" applyFont="1" applyFill="1" applyBorder="1" applyAlignment="1">
      <alignment horizontal="center"/>
      <protection/>
    </xf>
    <xf numFmtId="0" fontId="1" fillId="33" borderId="108" xfId="51" applyFont="1" applyFill="1" applyBorder="1" applyAlignment="1">
      <alignment horizontal="center"/>
      <protection/>
    </xf>
    <xf numFmtId="0" fontId="3" fillId="0" borderId="12" xfId="0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187" fontId="3" fillId="0" borderId="12" xfId="0" applyNumberFormat="1" applyFont="1" applyBorder="1" applyAlignment="1">
      <alignment horizontal="center" vertical="center"/>
    </xf>
    <xf numFmtId="187" fontId="3" fillId="0" borderId="41" xfId="0" applyNumberFormat="1" applyFont="1" applyBorder="1" applyAlignment="1">
      <alignment horizontal="center" vertical="center" wrapText="1"/>
    </xf>
    <xf numFmtId="187" fontId="3" fillId="0" borderId="42" xfId="0" applyNumberFormat="1" applyFont="1" applyBorder="1" applyAlignment="1">
      <alignment horizontal="center" vertical="center" wrapText="1"/>
    </xf>
    <xf numFmtId="187" fontId="5" fillId="33" borderId="109" xfId="0" applyNumberFormat="1" applyFont="1" applyFill="1" applyBorder="1" applyAlignment="1">
      <alignment horizontal="center"/>
    </xf>
    <xf numFmtId="187" fontId="5" fillId="33" borderId="19" xfId="0" applyNumberFormat="1" applyFont="1" applyFill="1" applyBorder="1" applyAlignment="1">
      <alignment horizontal="center"/>
    </xf>
    <xf numFmtId="187" fontId="5" fillId="33" borderId="110" xfId="0" applyNumberFormat="1" applyFont="1" applyFill="1" applyBorder="1" applyAlignment="1">
      <alignment horizontal="center"/>
    </xf>
    <xf numFmtId="187" fontId="5" fillId="33" borderId="111" xfId="0" applyNumberFormat="1" applyFont="1" applyFill="1" applyBorder="1" applyAlignment="1">
      <alignment horizontal="center"/>
    </xf>
    <xf numFmtId="169" fontId="6" fillId="34" borderId="14" xfId="0" applyNumberFormat="1" applyFont="1" applyFill="1" applyBorder="1" applyAlignment="1">
      <alignment horizontal="center"/>
    </xf>
    <xf numFmtId="0" fontId="0" fillId="0" borderId="16" xfId="0" applyBorder="1" applyAlignment="1">
      <alignment/>
    </xf>
    <xf numFmtId="0" fontId="3" fillId="0" borderId="12" xfId="0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169" fontId="6" fillId="34" borderId="12" xfId="0" applyNumberFormat="1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3" fillId="34" borderId="42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Border="1" applyAlignment="1">
      <alignment horizontal="left"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Attività" xfId="47"/>
    <cellStyle name="Comma [0]" xfId="48"/>
    <cellStyle name="Neutrale" xfId="49"/>
    <cellStyle name="Normale_Attività" xfId="50"/>
    <cellStyle name="Normale_Detrazioni" xfId="51"/>
    <cellStyle name="Normale_Foglio1" xfId="52"/>
    <cellStyle name="Normale_Foglio2" xfId="53"/>
    <cellStyle name="Normale_Foglio3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Valuta (0)_Attività" xfId="69"/>
    <cellStyle name="Currency [0]" xfId="70"/>
  </cellStyles>
  <dxfs count="1">
    <dxf>
      <font>
        <b/>
        <i val="0"/>
        <color auto="1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38</xdr:col>
      <xdr:colOff>152400</xdr:colOff>
      <xdr:row>0</xdr:row>
      <xdr:rowOff>95250</xdr:rowOff>
    </xdr:from>
    <xdr:to>
      <xdr:col>42</xdr:col>
      <xdr:colOff>152400</xdr:colOff>
      <xdr:row>0</xdr:row>
      <xdr:rowOff>381000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7886700" y="95250"/>
          <a:ext cx="800100" cy="285750"/>
        </a:xfrm>
        <a:prstGeom prst="rect">
          <a:avLst/>
        </a:prstGeom>
        <a:solidFill>
          <a:srgbClr val="FFFFFF"/>
        </a:solidFill>
        <a:ln w="57150" cmpd="thinThick">
          <a:solidFill>
            <a:srgbClr val="969696"/>
          </a:solidFill>
          <a:headEnd type="none"/>
          <a:tailEnd type="none"/>
        </a:ln>
      </xdr:spPr>
      <xdr:txBody>
        <a:bodyPr vertOverflow="clip" wrap="square" lIns="36576" tIns="41148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R.A.V.A.</a:t>
          </a:r>
        </a:p>
      </xdr:txBody>
    </xdr:sp>
    <xdr:clientData/>
  </xdr:twoCellAnchor>
  <xdr:twoCellAnchor>
    <xdr:from>
      <xdr:col>36</xdr:col>
      <xdr:colOff>104775</xdr:colOff>
      <xdr:row>1</xdr:row>
      <xdr:rowOff>76200</xdr:rowOff>
    </xdr:from>
    <xdr:to>
      <xdr:col>44</xdr:col>
      <xdr:colOff>123825</xdr:colOff>
      <xdr:row>3</xdr:row>
      <xdr:rowOff>142875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7439025" y="476250"/>
          <a:ext cx="161925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Assessorato Agricoltura, Risorse Naturali e Protezione Civile</a:t>
          </a:r>
        </a:p>
      </xdr:txBody>
    </xdr:sp>
    <xdr:clientData/>
  </xdr:twoCellAnchor>
  <xdr:twoCellAnchor>
    <xdr:from>
      <xdr:col>1</xdr:col>
      <xdr:colOff>85725</xdr:colOff>
      <xdr:row>1</xdr:row>
      <xdr:rowOff>38100</xdr:rowOff>
    </xdr:from>
    <xdr:to>
      <xdr:col>8</xdr:col>
      <xdr:colOff>104775</xdr:colOff>
      <xdr:row>3</xdr:row>
      <xdr:rowOff>104775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285750" y="438150"/>
          <a:ext cx="15525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Sede per la Valle d'Aosta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285750</xdr:colOff>
      <xdr:row>2</xdr:row>
      <xdr:rowOff>28575</xdr:rowOff>
    </xdr:from>
    <xdr:to>
      <xdr:col>26</xdr:col>
      <xdr:colOff>104775</xdr:colOff>
      <xdr:row>2</xdr:row>
      <xdr:rowOff>276225</xdr:rowOff>
    </xdr:to>
    <xdr:sp>
      <xdr:nvSpPr>
        <xdr:cNvPr id="1" name="Text Box 10"/>
        <xdr:cNvSpPr txBox="1">
          <a:spLocks noChangeArrowheads="1"/>
        </xdr:cNvSpPr>
      </xdr:nvSpPr>
      <xdr:spPr>
        <a:xfrm>
          <a:off x="11277600" y="409575"/>
          <a:ext cx="18478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Assessorato Agricoltura, Risorse Naturali e Protezione Civile</a:t>
          </a:r>
        </a:p>
      </xdr:txBody>
    </xdr:sp>
    <xdr:clientData/>
  </xdr:twoCellAnchor>
  <xdr:twoCellAnchor>
    <xdr:from>
      <xdr:col>23</xdr:col>
      <xdr:colOff>57150</xdr:colOff>
      <xdr:row>0</xdr:row>
      <xdr:rowOff>76200</xdr:rowOff>
    </xdr:from>
    <xdr:to>
      <xdr:col>25</xdr:col>
      <xdr:colOff>304800</xdr:colOff>
      <xdr:row>2</xdr:row>
      <xdr:rowOff>0</xdr:rowOff>
    </xdr:to>
    <xdr:sp>
      <xdr:nvSpPr>
        <xdr:cNvPr id="2" name="Text Box 9"/>
        <xdr:cNvSpPr txBox="1">
          <a:spLocks noChangeArrowheads="1"/>
        </xdr:cNvSpPr>
      </xdr:nvSpPr>
      <xdr:spPr>
        <a:xfrm>
          <a:off x="11839575" y="76200"/>
          <a:ext cx="876300" cy="304800"/>
        </a:xfrm>
        <a:prstGeom prst="rect">
          <a:avLst/>
        </a:prstGeom>
        <a:solidFill>
          <a:srgbClr val="FFFFFF"/>
        </a:solidFill>
        <a:ln w="57150" cmpd="thinThick">
          <a:solidFill>
            <a:srgbClr val="969696"/>
          </a:solidFill>
          <a:headEnd type="none"/>
          <a:tailEnd type="none"/>
        </a:ln>
      </xdr:spPr>
      <xdr:txBody>
        <a:bodyPr vertOverflow="clip" wrap="square" lIns="36576" tIns="41148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R.A.V.A.</a:t>
          </a:r>
        </a:p>
      </xdr:txBody>
    </xdr:sp>
    <xdr:clientData/>
  </xdr:twoCellAnchor>
  <xdr:twoCellAnchor>
    <xdr:from>
      <xdr:col>2</xdr:col>
      <xdr:colOff>0</xdr:colOff>
      <xdr:row>2</xdr:row>
      <xdr:rowOff>66675</xdr:rowOff>
    </xdr:from>
    <xdr:to>
      <xdr:col>3</xdr:col>
      <xdr:colOff>1114425</xdr:colOff>
      <xdr:row>2</xdr:row>
      <xdr:rowOff>257175</xdr:rowOff>
    </xdr:to>
    <xdr:sp>
      <xdr:nvSpPr>
        <xdr:cNvPr id="3" name="Text Box 11"/>
        <xdr:cNvSpPr txBox="1">
          <a:spLocks noChangeArrowheads="1"/>
        </xdr:cNvSpPr>
      </xdr:nvSpPr>
      <xdr:spPr>
        <a:xfrm>
          <a:off x="400050" y="447675"/>
          <a:ext cx="16383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Sede per la Valle d'Aosta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51</xdr:col>
      <xdr:colOff>9525</xdr:colOff>
      <xdr:row>0</xdr:row>
      <xdr:rowOff>95250</xdr:rowOff>
    </xdr:from>
    <xdr:to>
      <xdr:col>56</xdr:col>
      <xdr:colOff>104775</xdr:colOff>
      <xdr:row>0</xdr:row>
      <xdr:rowOff>381000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9839325" y="95250"/>
          <a:ext cx="866775" cy="285750"/>
        </a:xfrm>
        <a:prstGeom prst="rect">
          <a:avLst/>
        </a:prstGeom>
        <a:solidFill>
          <a:srgbClr val="FFFFFF"/>
        </a:solidFill>
        <a:ln w="57150" cmpd="thinThick">
          <a:solidFill>
            <a:srgbClr val="969696"/>
          </a:solidFill>
          <a:headEnd type="none"/>
          <a:tailEnd type="none"/>
        </a:ln>
      </xdr:spPr>
      <xdr:txBody>
        <a:bodyPr vertOverflow="clip" wrap="square" lIns="36576" tIns="41148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R.A.V.A.</a:t>
          </a:r>
        </a:p>
      </xdr:txBody>
    </xdr:sp>
    <xdr:clientData/>
  </xdr:twoCellAnchor>
  <xdr:twoCellAnchor>
    <xdr:from>
      <xdr:col>48</xdr:col>
      <xdr:colOff>38100</xdr:colOff>
      <xdr:row>1</xdr:row>
      <xdr:rowOff>66675</xdr:rowOff>
    </xdr:from>
    <xdr:to>
      <xdr:col>59</xdr:col>
      <xdr:colOff>47625</xdr:colOff>
      <xdr:row>2</xdr:row>
      <xdr:rowOff>285750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9267825" y="466725"/>
          <a:ext cx="19812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Assessorato Agricoltura, Risorse Naturali e Protezione Civile</a:t>
          </a:r>
        </a:p>
      </xdr:txBody>
    </xdr:sp>
    <xdr:clientData/>
  </xdr:twoCellAnchor>
  <xdr:twoCellAnchor>
    <xdr:from>
      <xdr:col>0</xdr:col>
      <xdr:colOff>152400</xdr:colOff>
      <xdr:row>1</xdr:row>
      <xdr:rowOff>57150</xdr:rowOff>
    </xdr:from>
    <xdr:to>
      <xdr:col>7</xdr:col>
      <xdr:colOff>95250</xdr:colOff>
      <xdr:row>2</xdr:row>
      <xdr:rowOff>123825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152400" y="457200"/>
          <a:ext cx="14192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Sede per la Valle d'Aosta</a:t>
          </a:r>
        </a:p>
      </xdr:txBody>
    </xdr:sp>
    <xdr:clientData/>
  </xdr:twoCellAnchor>
  <xdr:oneCellAnchor>
    <xdr:from>
      <xdr:col>11</xdr:col>
      <xdr:colOff>152400</xdr:colOff>
      <xdr:row>23</xdr:row>
      <xdr:rowOff>0</xdr:rowOff>
    </xdr:from>
    <xdr:ext cx="85725" cy="209550"/>
    <xdr:sp fLocksText="0">
      <xdr:nvSpPr>
        <xdr:cNvPr id="4" name="Text Box 6"/>
        <xdr:cNvSpPr txBox="1">
          <a:spLocks noChangeArrowheads="1"/>
        </xdr:cNvSpPr>
      </xdr:nvSpPr>
      <xdr:spPr>
        <a:xfrm>
          <a:off x="2305050" y="31527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152400</xdr:colOff>
      <xdr:row>23</xdr:row>
      <xdr:rowOff>66675</xdr:rowOff>
    </xdr:from>
    <xdr:ext cx="85725" cy="209550"/>
    <xdr:sp fLocksText="0">
      <xdr:nvSpPr>
        <xdr:cNvPr id="5" name="Text Box 7"/>
        <xdr:cNvSpPr txBox="1">
          <a:spLocks noChangeArrowheads="1"/>
        </xdr:cNvSpPr>
      </xdr:nvSpPr>
      <xdr:spPr>
        <a:xfrm>
          <a:off x="2305050" y="32194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152400</xdr:colOff>
      <xdr:row>21</xdr:row>
      <xdr:rowOff>0</xdr:rowOff>
    </xdr:from>
    <xdr:ext cx="85725" cy="200025"/>
    <xdr:sp fLocksText="0">
      <xdr:nvSpPr>
        <xdr:cNvPr id="6" name="Text Box 14"/>
        <xdr:cNvSpPr txBox="1">
          <a:spLocks noChangeArrowheads="1"/>
        </xdr:cNvSpPr>
      </xdr:nvSpPr>
      <xdr:spPr>
        <a:xfrm>
          <a:off x="23050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152400</xdr:colOff>
      <xdr:row>21</xdr:row>
      <xdr:rowOff>66675</xdr:rowOff>
    </xdr:from>
    <xdr:ext cx="85725" cy="209550"/>
    <xdr:sp fLocksText="0">
      <xdr:nvSpPr>
        <xdr:cNvPr id="7" name="Text Box 15"/>
        <xdr:cNvSpPr txBox="1">
          <a:spLocks noChangeArrowheads="1"/>
        </xdr:cNvSpPr>
      </xdr:nvSpPr>
      <xdr:spPr>
        <a:xfrm>
          <a:off x="2305050" y="29908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38100</xdr:colOff>
      <xdr:row>0</xdr:row>
      <xdr:rowOff>95250</xdr:rowOff>
    </xdr:from>
    <xdr:to>
      <xdr:col>22</xdr:col>
      <xdr:colOff>295275</xdr:colOff>
      <xdr:row>0</xdr:row>
      <xdr:rowOff>381000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8953500" y="95250"/>
          <a:ext cx="1828800" cy="285750"/>
        </a:xfrm>
        <a:prstGeom prst="rect">
          <a:avLst/>
        </a:prstGeom>
        <a:solidFill>
          <a:srgbClr val="FFFFFF"/>
        </a:solidFill>
        <a:ln w="57150" cmpd="thinThick">
          <a:solidFill>
            <a:srgbClr val="969696"/>
          </a:solidFill>
          <a:headEnd type="none"/>
          <a:tailEnd type="none"/>
        </a:ln>
      </xdr:spPr>
      <xdr:txBody>
        <a:bodyPr vertOverflow="clip" wrap="square" lIns="36576" tIns="41148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R.A.V.A.</a:t>
          </a:r>
        </a:p>
      </xdr:txBody>
    </xdr:sp>
    <xdr:clientData/>
  </xdr:twoCellAnchor>
  <xdr:twoCellAnchor>
    <xdr:from>
      <xdr:col>16</xdr:col>
      <xdr:colOff>200025</xdr:colOff>
      <xdr:row>1</xdr:row>
      <xdr:rowOff>66675</xdr:rowOff>
    </xdr:from>
    <xdr:to>
      <xdr:col>24</xdr:col>
      <xdr:colOff>276225</xdr:colOff>
      <xdr:row>2</xdr:row>
      <xdr:rowOff>285750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8210550" y="466725"/>
          <a:ext cx="33528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Assessorato Agricoltura, Risorse Naturali e Protezione Civile</a:t>
          </a:r>
        </a:p>
      </xdr:txBody>
    </xdr:sp>
    <xdr:clientData/>
  </xdr:twoCellAnchor>
  <xdr:twoCellAnchor>
    <xdr:from>
      <xdr:col>0</xdr:col>
      <xdr:colOff>0</xdr:colOff>
      <xdr:row>1</xdr:row>
      <xdr:rowOff>57150</xdr:rowOff>
    </xdr:from>
    <xdr:to>
      <xdr:col>6</xdr:col>
      <xdr:colOff>1114425</xdr:colOff>
      <xdr:row>2</xdr:row>
      <xdr:rowOff>133350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0" y="457200"/>
          <a:ext cx="13811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Sede per la Valle d'Aosta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oleObject" Target="../embeddings/oleObject_2_0.bin" /><Relationship Id="rId3" Type="http://schemas.openxmlformats.org/officeDocument/2006/relationships/vmlDrawing" Target="../drawings/vmlDrawing3.vm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C1:BD47"/>
  <sheetViews>
    <sheetView showGridLines="0" zoomScale="112" zoomScaleNormal="112" zoomScalePageLayoutView="0" workbookViewId="0" topLeftCell="A4">
      <selection activeCell="H7" sqref="H7:V7"/>
    </sheetView>
  </sheetViews>
  <sheetFormatPr defaultColWidth="9.140625" defaultRowHeight="12.75" customHeight="1"/>
  <cols>
    <col min="1" max="2" width="3.00390625" style="0" customWidth="1"/>
    <col min="3" max="3" width="5.00390625" style="0" customWidth="1"/>
    <col min="4" max="54" width="3.00390625" style="0" customWidth="1"/>
  </cols>
  <sheetData>
    <row r="1" spans="10:42" ht="31.5" customHeight="1">
      <c r="J1" s="108" t="s">
        <v>251</v>
      </c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</row>
    <row r="2" spans="11:42" ht="7.5" customHeight="1"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</row>
    <row r="3" spans="3:42" ht="11.25" customHeight="1">
      <c r="C3" s="86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</row>
    <row r="4" spans="10:16" ht="20.25" customHeight="1">
      <c r="J4" s="84"/>
      <c r="L4" s="84"/>
      <c r="M4" s="84"/>
      <c r="N4" s="84"/>
      <c r="O4" s="84"/>
      <c r="P4" s="84"/>
    </row>
    <row r="5" spans="3:44" ht="19.5" customHeight="1">
      <c r="C5" s="95"/>
      <c r="D5" s="93"/>
      <c r="E5" s="93"/>
      <c r="F5" s="93"/>
      <c r="G5" s="93"/>
      <c r="H5" s="94" t="s">
        <v>267</v>
      </c>
      <c r="I5" s="93"/>
      <c r="J5" s="95"/>
      <c r="K5" s="95"/>
      <c r="L5" s="95"/>
      <c r="M5" s="95"/>
      <c r="N5" s="94"/>
      <c r="O5" s="94"/>
      <c r="P5" s="94"/>
      <c r="Q5" s="95"/>
      <c r="R5" s="95"/>
      <c r="S5" s="95"/>
      <c r="T5" s="95"/>
      <c r="U5" s="95"/>
      <c r="V5" s="95"/>
      <c r="Z5" s="87"/>
      <c r="AA5" s="87"/>
      <c r="AB5" s="87"/>
      <c r="AC5" s="87"/>
      <c r="AD5" s="87"/>
      <c r="AE5" s="87"/>
      <c r="AF5" s="88" t="s">
        <v>268</v>
      </c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</row>
    <row r="6" spans="3:44" ht="4.5" customHeight="1"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</row>
    <row r="7" spans="3:44" ht="15" customHeight="1" thickBot="1">
      <c r="C7" s="103" t="s">
        <v>252</v>
      </c>
      <c r="D7" s="96"/>
      <c r="E7" s="96"/>
      <c r="F7" s="96"/>
      <c r="G7" s="95"/>
      <c r="H7" s="539"/>
      <c r="I7" s="540"/>
      <c r="J7" s="540"/>
      <c r="K7" s="540"/>
      <c r="L7" s="540"/>
      <c r="M7" s="540"/>
      <c r="N7" s="540"/>
      <c r="O7" s="540"/>
      <c r="P7" s="540"/>
      <c r="Q7" s="540"/>
      <c r="R7" s="540"/>
      <c r="S7" s="540"/>
      <c r="T7" s="540"/>
      <c r="U7" s="540"/>
      <c r="V7" s="541"/>
      <c r="Z7" s="89" t="s">
        <v>6</v>
      </c>
      <c r="AA7" s="87"/>
      <c r="AB7" s="87"/>
      <c r="AC7" s="87"/>
      <c r="AD7" s="87"/>
      <c r="AE7" s="87"/>
      <c r="AF7" s="539"/>
      <c r="AG7" s="540"/>
      <c r="AH7" s="540"/>
      <c r="AI7" s="540"/>
      <c r="AJ7" s="540"/>
      <c r="AK7" s="540"/>
      <c r="AL7" s="540"/>
      <c r="AM7" s="540"/>
      <c r="AN7" s="540"/>
      <c r="AO7" s="540"/>
      <c r="AP7" s="540"/>
      <c r="AQ7" s="540"/>
      <c r="AR7" s="541"/>
    </row>
    <row r="8" spans="3:56" s="76" customFormat="1" ht="4.5" customHeight="1">
      <c r="C8" s="104"/>
      <c r="D8" s="97"/>
      <c r="E8" s="97"/>
      <c r="F8" s="97"/>
      <c r="G8" s="98"/>
      <c r="H8" s="97"/>
      <c r="I8" s="97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BD8"/>
    </row>
    <row r="9" spans="3:44" ht="15" customHeight="1" thickBot="1">
      <c r="C9" s="102" t="s">
        <v>253</v>
      </c>
      <c r="D9" s="100"/>
      <c r="E9" s="100"/>
      <c r="F9" s="100"/>
      <c r="G9" s="95"/>
      <c r="H9" s="539"/>
      <c r="I9" s="540"/>
      <c r="J9" s="540"/>
      <c r="K9" s="540"/>
      <c r="L9" s="540"/>
      <c r="M9" s="540"/>
      <c r="N9" s="540"/>
      <c r="O9" s="540"/>
      <c r="P9" s="540"/>
      <c r="Q9" s="540"/>
      <c r="R9" s="540"/>
      <c r="S9" s="540"/>
      <c r="T9" s="540"/>
      <c r="U9" s="540"/>
      <c r="V9" s="541"/>
      <c r="Z9" s="91" t="s">
        <v>269</v>
      </c>
      <c r="AA9" s="87"/>
      <c r="AB9" s="87"/>
      <c r="AC9" s="87"/>
      <c r="AD9" s="87"/>
      <c r="AE9" s="87"/>
      <c r="AF9" s="547"/>
      <c r="AG9" s="548"/>
      <c r="AH9" s="548"/>
      <c r="AI9" s="548"/>
      <c r="AJ9" s="548"/>
      <c r="AK9" s="548"/>
      <c r="AL9" s="549"/>
      <c r="AM9" s="87"/>
      <c r="AN9" s="87"/>
      <c r="AO9" s="87"/>
      <c r="AP9" s="87"/>
      <c r="AQ9" s="87"/>
      <c r="AR9" s="87"/>
    </row>
    <row r="10" spans="3:56" s="76" customFormat="1" ht="4.5" customHeight="1">
      <c r="C10" s="104"/>
      <c r="D10" s="97"/>
      <c r="E10" s="97"/>
      <c r="F10" s="97"/>
      <c r="G10" s="98"/>
      <c r="H10" s="97"/>
      <c r="I10" s="97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BD10"/>
    </row>
    <row r="11" spans="3:44" ht="15" customHeight="1" thickBot="1">
      <c r="C11" s="102" t="s">
        <v>254</v>
      </c>
      <c r="D11" s="100"/>
      <c r="E11" s="100"/>
      <c r="F11" s="100"/>
      <c r="G11" s="95"/>
      <c r="H11" s="333" t="s">
        <v>435</v>
      </c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Z11" s="91" t="s">
        <v>270</v>
      </c>
      <c r="AA11" s="87"/>
      <c r="AB11" s="87"/>
      <c r="AC11" s="87"/>
      <c r="AD11" s="87"/>
      <c r="AE11" s="87"/>
      <c r="AF11" s="539"/>
      <c r="AG11" s="540"/>
      <c r="AH11" s="540"/>
      <c r="AI11" s="540"/>
      <c r="AJ11" s="540"/>
      <c r="AK11" s="540"/>
      <c r="AL11" s="540"/>
      <c r="AM11" s="540"/>
      <c r="AN11" s="540"/>
      <c r="AO11" s="540"/>
      <c r="AP11" s="541"/>
      <c r="AQ11" s="87"/>
      <c r="AR11" s="87"/>
    </row>
    <row r="12" spans="3:56" s="76" customFormat="1" ht="4.5" customHeight="1">
      <c r="C12" s="104"/>
      <c r="D12" s="97"/>
      <c r="E12" s="97"/>
      <c r="F12" s="97"/>
      <c r="G12" s="98"/>
      <c r="H12" s="97"/>
      <c r="I12" s="97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BD12"/>
    </row>
    <row r="13" spans="3:44" ht="15" customHeight="1" thickBot="1">
      <c r="C13" s="102" t="s">
        <v>255</v>
      </c>
      <c r="D13" s="100"/>
      <c r="E13" s="100"/>
      <c r="F13" s="100"/>
      <c r="G13" s="95"/>
      <c r="H13" s="547"/>
      <c r="I13" s="548"/>
      <c r="J13" s="548"/>
      <c r="K13" s="548"/>
      <c r="L13" s="549"/>
      <c r="M13" s="101" t="s">
        <v>256</v>
      </c>
      <c r="N13" s="95"/>
      <c r="O13" s="95"/>
      <c r="P13" s="95"/>
      <c r="Q13" s="547"/>
      <c r="R13" s="548"/>
      <c r="S13" s="548"/>
      <c r="T13" s="548"/>
      <c r="U13" s="548"/>
      <c r="V13" s="549"/>
      <c r="Z13" s="91" t="s">
        <v>259</v>
      </c>
      <c r="AA13" s="87"/>
      <c r="AB13" s="87"/>
      <c r="AC13" s="87"/>
      <c r="AD13" s="87"/>
      <c r="AE13" s="87"/>
      <c r="AF13" s="539"/>
      <c r="AG13" s="540"/>
      <c r="AH13" s="540"/>
      <c r="AI13" s="540"/>
      <c r="AJ13" s="540"/>
      <c r="AK13" s="540"/>
      <c r="AL13" s="540"/>
      <c r="AM13" s="540"/>
      <c r="AN13" s="540"/>
      <c r="AO13" s="540"/>
      <c r="AP13" s="540"/>
      <c r="AQ13" s="540"/>
      <c r="AR13" s="541"/>
    </row>
    <row r="14" spans="3:44" ht="4.5" customHeight="1">
      <c r="C14" s="105"/>
      <c r="D14" s="100"/>
      <c r="E14" s="100"/>
      <c r="F14" s="100"/>
      <c r="G14" s="100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Z14" s="91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</row>
    <row r="15" spans="3:44" ht="15" customHeight="1" thickBot="1">
      <c r="C15" s="102" t="s">
        <v>257</v>
      </c>
      <c r="D15" s="100"/>
      <c r="E15" s="100"/>
      <c r="F15" s="100"/>
      <c r="G15" s="95"/>
      <c r="H15" s="547"/>
      <c r="I15" s="548"/>
      <c r="J15" s="548"/>
      <c r="K15" s="548"/>
      <c r="L15" s="549"/>
      <c r="M15" s="95"/>
      <c r="N15" s="95"/>
      <c r="O15" s="95"/>
      <c r="P15" s="95"/>
      <c r="Q15" s="95"/>
      <c r="R15" s="95"/>
      <c r="S15" s="95"/>
      <c r="T15" s="95"/>
      <c r="U15" s="95"/>
      <c r="V15" s="95"/>
      <c r="Z15" s="91" t="s">
        <v>260</v>
      </c>
      <c r="AA15" s="87"/>
      <c r="AB15" s="87"/>
      <c r="AC15" s="87"/>
      <c r="AD15" s="87"/>
      <c r="AE15" s="87"/>
      <c r="AF15" s="539"/>
      <c r="AG15" s="540"/>
      <c r="AH15" s="540"/>
      <c r="AI15" s="540"/>
      <c r="AJ15" s="540"/>
      <c r="AK15" s="540"/>
      <c r="AL15" s="540"/>
      <c r="AM15" s="540"/>
      <c r="AN15" s="540"/>
      <c r="AO15" s="540"/>
      <c r="AP15" s="540"/>
      <c r="AQ15" s="540"/>
      <c r="AR15" s="541"/>
    </row>
    <row r="16" spans="3:44" ht="4.5" customHeight="1">
      <c r="C16" s="105"/>
      <c r="D16" s="100"/>
      <c r="E16" s="100"/>
      <c r="F16" s="100"/>
      <c r="G16" s="100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Z16" s="91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</row>
    <row r="17" spans="3:44" ht="15" customHeight="1" thickBot="1">
      <c r="C17" s="102" t="s">
        <v>9</v>
      </c>
      <c r="D17" s="100"/>
      <c r="E17" s="100"/>
      <c r="F17" s="100"/>
      <c r="G17" s="95"/>
      <c r="H17" s="552"/>
      <c r="I17" s="553"/>
      <c r="J17" s="553"/>
      <c r="K17" s="553"/>
      <c r="L17" s="553"/>
      <c r="M17" s="553"/>
      <c r="N17" s="553"/>
      <c r="O17" s="553"/>
      <c r="P17" s="553"/>
      <c r="Q17" s="553"/>
      <c r="R17" s="554"/>
      <c r="S17" s="95"/>
      <c r="T17" s="95"/>
      <c r="U17" s="95"/>
      <c r="V17" s="95"/>
      <c r="Z17" s="91" t="s">
        <v>261</v>
      </c>
      <c r="AA17" s="87"/>
      <c r="AB17" s="87"/>
      <c r="AC17" s="87"/>
      <c r="AD17" s="87"/>
      <c r="AE17" s="87"/>
      <c r="AF17" s="539"/>
      <c r="AG17" s="540"/>
      <c r="AH17" s="541"/>
      <c r="AI17" s="87"/>
      <c r="AJ17" s="87"/>
      <c r="AK17" s="87"/>
      <c r="AL17" s="87"/>
      <c r="AM17" s="87"/>
      <c r="AN17" s="87"/>
      <c r="AO17" s="87"/>
      <c r="AP17" s="87"/>
      <c r="AQ17" s="87"/>
      <c r="AR17" s="87"/>
    </row>
    <row r="18" spans="3:44" ht="4.5" customHeight="1">
      <c r="C18" s="105"/>
      <c r="D18" s="100"/>
      <c r="E18" s="100"/>
      <c r="F18" s="100"/>
      <c r="G18" s="100"/>
      <c r="H18" s="100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</row>
    <row r="19" spans="3:44" ht="15" customHeight="1" thickBot="1">
      <c r="C19" s="102" t="s">
        <v>258</v>
      </c>
      <c r="D19" s="100"/>
      <c r="E19" s="100"/>
      <c r="F19" s="100"/>
      <c r="G19" s="100"/>
      <c r="H19" s="539"/>
      <c r="I19" s="540"/>
      <c r="J19" s="540"/>
      <c r="K19" s="540"/>
      <c r="L19" s="540"/>
      <c r="M19" s="540"/>
      <c r="N19" s="541"/>
      <c r="O19" s="95"/>
      <c r="P19" s="95"/>
      <c r="Q19" s="95"/>
      <c r="R19" s="95"/>
      <c r="S19" s="95"/>
      <c r="T19" s="95"/>
      <c r="U19" s="95"/>
      <c r="V19" s="95"/>
      <c r="Z19" s="91" t="s">
        <v>264</v>
      </c>
      <c r="AA19" s="87"/>
      <c r="AB19" s="87"/>
      <c r="AC19" s="87"/>
      <c r="AD19" s="87"/>
      <c r="AE19" s="87"/>
      <c r="AF19" s="539"/>
      <c r="AG19" s="540"/>
      <c r="AH19" s="540"/>
      <c r="AI19" s="540"/>
      <c r="AJ19" s="540"/>
      <c r="AK19" s="541"/>
      <c r="AL19" s="87"/>
      <c r="AM19" s="87"/>
      <c r="AN19" s="87"/>
      <c r="AO19" s="87"/>
      <c r="AP19" s="87"/>
      <c r="AQ19" s="87"/>
      <c r="AR19" s="87"/>
    </row>
    <row r="20" spans="3:44" ht="4.5" customHeight="1">
      <c r="C20" s="102"/>
      <c r="D20" s="100"/>
      <c r="E20" s="100"/>
      <c r="F20" s="100"/>
      <c r="G20" s="100"/>
      <c r="H20" s="100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</row>
    <row r="21" spans="3:44" ht="15" customHeight="1" thickBot="1">
      <c r="C21" s="102" t="s">
        <v>266</v>
      </c>
      <c r="D21" s="100"/>
      <c r="E21" s="100"/>
      <c r="F21" s="100"/>
      <c r="G21" s="102" t="s">
        <v>259</v>
      </c>
      <c r="H21" s="100"/>
      <c r="I21" s="95"/>
      <c r="J21" s="539"/>
      <c r="K21" s="540"/>
      <c r="L21" s="540"/>
      <c r="M21" s="540"/>
      <c r="N21" s="540"/>
      <c r="O21" s="540"/>
      <c r="P21" s="540"/>
      <c r="Q21" s="540"/>
      <c r="R21" s="540"/>
      <c r="S21" s="540"/>
      <c r="T21" s="540"/>
      <c r="U21" s="540"/>
      <c r="V21" s="541"/>
      <c r="Z21" s="91" t="s">
        <v>255</v>
      </c>
      <c r="AA21" s="87"/>
      <c r="AB21" s="87"/>
      <c r="AC21" s="87"/>
      <c r="AD21" s="87"/>
      <c r="AE21" s="87"/>
      <c r="AF21" s="547"/>
      <c r="AG21" s="548"/>
      <c r="AH21" s="548"/>
      <c r="AI21" s="548"/>
      <c r="AJ21" s="549"/>
      <c r="AK21" s="87"/>
      <c r="AL21" s="87"/>
      <c r="AM21" s="87"/>
      <c r="AN21" s="87"/>
      <c r="AO21" s="87"/>
      <c r="AP21" s="87"/>
      <c r="AQ21" s="87"/>
      <c r="AR21" s="87"/>
    </row>
    <row r="22" spans="3:44" ht="4.5" customHeight="1">
      <c r="C22" s="102"/>
      <c r="D22" s="100"/>
      <c r="E22" s="100"/>
      <c r="F22" s="100"/>
      <c r="G22" s="102"/>
      <c r="H22" s="100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Z22" s="92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</row>
    <row r="23" spans="3:44" ht="15" customHeight="1" thickBot="1">
      <c r="C23" s="102"/>
      <c r="D23" s="100"/>
      <c r="E23" s="100"/>
      <c r="F23" s="100"/>
      <c r="G23" s="102" t="s">
        <v>260</v>
      </c>
      <c r="H23" s="100"/>
      <c r="I23" s="95"/>
      <c r="J23" s="539"/>
      <c r="K23" s="540"/>
      <c r="L23" s="540"/>
      <c r="M23" s="540"/>
      <c r="N23" s="540"/>
      <c r="O23" s="540"/>
      <c r="P23" s="540"/>
      <c r="Q23" s="540"/>
      <c r="R23" s="540"/>
      <c r="S23" s="540"/>
      <c r="T23" s="540"/>
      <c r="U23" s="540"/>
      <c r="V23" s="541"/>
      <c r="Z23" s="91" t="s">
        <v>8</v>
      </c>
      <c r="AA23" s="87"/>
      <c r="AB23" s="87"/>
      <c r="AC23" s="87"/>
      <c r="AD23" s="87"/>
      <c r="AE23" s="87"/>
      <c r="AF23" s="547"/>
      <c r="AG23" s="548"/>
      <c r="AH23" s="548"/>
      <c r="AI23" s="548"/>
      <c r="AJ23" s="549"/>
      <c r="AK23" s="87"/>
      <c r="AL23" s="87"/>
      <c r="AM23" s="87"/>
      <c r="AN23" s="87"/>
      <c r="AO23" s="87"/>
      <c r="AP23" s="87"/>
      <c r="AQ23" s="87"/>
      <c r="AR23" s="87"/>
    </row>
    <row r="24" spans="3:44" ht="4.5" customHeight="1">
      <c r="C24" s="102"/>
      <c r="D24" s="100"/>
      <c r="E24" s="100"/>
      <c r="F24" s="100"/>
      <c r="G24" s="102"/>
      <c r="H24" s="100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</row>
    <row r="25" spans="3:44" ht="15" customHeight="1" thickBot="1">
      <c r="C25" s="102"/>
      <c r="D25" s="100"/>
      <c r="E25" s="100"/>
      <c r="F25" s="100"/>
      <c r="G25" s="102" t="s">
        <v>261</v>
      </c>
      <c r="H25" s="100"/>
      <c r="I25" s="95"/>
      <c r="J25" s="539"/>
      <c r="K25" s="540"/>
      <c r="L25" s="541"/>
      <c r="M25" s="95"/>
      <c r="N25" s="95"/>
      <c r="O25" s="95"/>
      <c r="P25" s="95"/>
      <c r="Q25" s="95"/>
      <c r="R25" s="95"/>
      <c r="S25" s="95"/>
      <c r="T25" s="95"/>
      <c r="U25" s="95"/>
      <c r="V25" s="95"/>
      <c r="Z25" s="91" t="s">
        <v>7</v>
      </c>
      <c r="AA25" s="87"/>
      <c r="AB25" s="87"/>
      <c r="AC25" s="87"/>
      <c r="AD25" s="87"/>
      <c r="AE25" s="87"/>
      <c r="AF25" s="552"/>
      <c r="AG25" s="553"/>
      <c r="AH25" s="553"/>
      <c r="AI25" s="553"/>
      <c r="AJ25" s="553"/>
      <c r="AK25" s="553"/>
      <c r="AL25" s="553"/>
      <c r="AM25" s="553"/>
      <c r="AN25" s="553"/>
      <c r="AO25" s="553"/>
      <c r="AP25" s="554"/>
      <c r="AQ25" s="87"/>
      <c r="AR25" s="87"/>
    </row>
    <row r="26" spans="3:44" ht="4.5" customHeight="1">
      <c r="C26" s="102"/>
      <c r="D26" s="100"/>
      <c r="E26" s="100"/>
      <c r="F26" s="100"/>
      <c r="G26" s="102"/>
      <c r="H26" s="100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</row>
    <row r="27" spans="3:44" ht="15" customHeight="1" thickBot="1">
      <c r="C27" s="102" t="s">
        <v>262</v>
      </c>
      <c r="D27" s="100"/>
      <c r="E27" s="100"/>
      <c r="F27" s="100"/>
      <c r="G27" s="102" t="s">
        <v>265</v>
      </c>
      <c r="H27" s="100"/>
      <c r="I27" s="95"/>
      <c r="J27" s="542"/>
      <c r="K27" s="543"/>
      <c r="L27" s="543"/>
      <c r="M27" s="544"/>
      <c r="N27" s="95"/>
      <c r="O27" s="95"/>
      <c r="P27" s="95"/>
      <c r="Q27" s="95"/>
      <c r="R27" s="95"/>
      <c r="S27" s="95"/>
      <c r="T27" s="95"/>
      <c r="U27" s="95"/>
      <c r="V27" s="95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</row>
    <row r="28" spans="3:44" ht="4.5" customHeight="1">
      <c r="C28" s="102"/>
      <c r="D28" s="100"/>
      <c r="E28" s="100"/>
      <c r="F28" s="100"/>
      <c r="G28" s="102"/>
      <c r="H28" s="100"/>
      <c r="I28" s="99"/>
      <c r="J28" s="99"/>
      <c r="K28" s="99"/>
      <c r="L28" s="101"/>
      <c r="M28" s="95"/>
      <c r="N28" s="95"/>
      <c r="O28" s="99"/>
      <c r="P28" s="99"/>
      <c r="Q28" s="99"/>
      <c r="R28" s="99"/>
      <c r="S28" s="99"/>
      <c r="T28" s="99"/>
      <c r="U28" s="99"/>
      <c r="V28" s="95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</row>
    <row r="29" spans="3:44" ht="15" customHeight="1" thickBot="1">
      <c r="C29" s="106"/>
      <c r="D29" s="100"/>
      <c r="E29" s="100"/>
      <c r="F29" s="100"/>
      <c r="G29" s="102" t="s">
        <v>263</v>
      </c>
      <c r="H29" s="100"/>
      <c r="I29" s="95"/>
      <c r="J29" s="539"/>
      <c r="K29" s="540"/>
      <c r="L29" s="540"/>
      <c r="M29" s="540"/>
      <c r="N29" s="540"/>
      <c r="O29" s="541"/>
      <c r="P29" s="95"/>
      <c r="Q29" s="95"/>
      <c r="R29" s="95"/>
      <c r="S29" s="95"/>
      <c r="T29" s="95"/>
      <c r="U29" s="95"/>
      <c r="V29" s="95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</row>
    <row r="30" spans="3:44" ht="4.5" customHeight="1"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</row>
    <row r="31" spans="3:44" ht="15" customHeight="1" thickBot="1">
      <c r="C31" s="95"/>
      <c r="D31" s="95"/>
      <c r="E31" s="95"/>
      <c r="F31" s="95"/>
      <c r="G31" s="102" t="s">
        <v>264</v>
      </c>
      <c r="H31" s="95"/>
      <c r="I31" s="95"/>
      <c r="J31" s="539"/>
      <c r="K31" s="540"/>
      <c r="L31" s="540"/>
      <c r="M31" s="540"/>
      <c r="N31" s="540"/>
      <c r="O31" s="541"/>
      <c r="P31" s="95"/>
      <c r="Q31" s="95"/>
      <c r="R31" s="95"/>
      <c r="S31" s="95"/>
      <c r="T31" s="95"/>
      <c r="U31" s="95"/>
      <c r="V31" s="95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</row>
    <row r="33" spans="3:25" ht="12.75" customHeight="1" thickBot="1">
      <c r="C33" s="550" t="s">
        <v>271</v>
      </c>
      <c r="D33" s="550"/>
      <c r="E33" s="550"/>
      <c r="F33" s="551"/>
      <c r="G33" s="539"/>
      <c r="H33" s="540"/>
      <c r="I33" s="541"/>
      <c r="J33" s="545" t="s">
        <v>272</v>
      </c>
      <c r="K33" s="546"/>
      <c r="L33" s="542"/>
      <c r="M33" s="543"/>
      <c r="N33" s="543"/>
      <c r="O33" s="544"/>
      <c r="P33" s="536" t="s">
        <v>273</v>
      </c>
      <c r="Q33" s="537"/>
      <c r="R33" s="537"/>
      <c r="S33" s="537"/>
      <c r="T33" s="537"/>
      <c r="U33" s="537"/>
      <c r="V33" s="538"/>
      <c r="W33" s="533"/>
      <c r="X33" s="534"/>
      <c r="Y33" s="535"/>
    </row>
    <row r="35" ht="12" customHeight="1"/>
    <row r="36" ht="12" customHeight="1"/>
    <row r="37" ht="12" customHeight="1"/>
    <row r="38" ht="12" customHeight="1"/>
    <row r="39" ht="12" customHeight="1"/>
    <row r="40" ht="12" customHeight="1"/>
    <row r="41" spans="3:12" ht="12.75" customHeight="1">
      <c r="C41" s="85" t="s">
        <v>270</v>
      </c>
      <c r="L41" s="85" t="s">
        <v>254</v>
      </c>
    </row>
    <row r="42" spans="3:12" ht="12.75" customHeight="1">
      <c r="C42" t="s">
        <v>0</v>
      </c>
      <c r="E42" s="109"/>
      <c r="F42" s="109"/>
      <c r="G42" s="109"/>
      <c r="H42" s="109"/>
      <c r="I42" s="109"/>
      <c r="J42" s="109"/>
      <c r="K42" s="109"/>
      <c r="L42" s="77" t="s">
        <v>435</v>
      </c>
    </row>
    <row r="43" spans="3:12" ht="12.75" customHeight="1">
      <c r="C43" t="s">
        <v>1</v>
      </c>
      <c r="E43" s="109"/>
      <c r="F43" s="109"/>
      <c r="G43" s="109"/>
      <c r="H43" s="109"/>
      <c r="I43" s="109"/>
      <c r="J43" s="109"/>
      <c r="K43" s="109"/>
      <c r="L43" s="77" t="s">
        <v>436</v>
      </c>
    </row>
    <row r="44" ht="12.75" customHeight="1">
      <c r="C44" t="s">
        <v>2</v>
      </c>
    </row>
    <row r="45" ht="12.75" customHeight="1">
      <c r="C45" t="s">
        <v>3</v>
      </c>
    </row>
    <row r="46" ht="12.75" customHeight="1">
      <c r="C46" t="s">
        <v>4</v>
      </c>
    </row>
    <row r="47" ht="12.75" customHeight="1">
      <c r="C47" t="s">
        <v>5</v>
      </c>
    </row>
  </sheetData>
  <sheetProtection sheet="1" objects="1" scenarios="1" selectLockedCells="1"/>
  <mergeCells count="29">
    <mergeCell ref="C33:F33"/>
    <mergeCell ref="H7:V7"/>
    <mergeCell ref="AF25:AP25"/>
    <mergeCell ref="AF7:AR7"/>
    <mergeCell ref="J25:L25"/>
    <mergeCell ref="H17:R17"/>
    <mergeCell ref="J21:V21"/>
    <mergeCell ref="J23:V23"/>
    <mergeCell ref="AF9:AL9"/>
    <mergeCell ref="AF11:AP11"/>
    <mergeCell ref="AF17:AH17"/>
    <mergeCell ref="H9:V9"/>
    <mergeCell ref="Q13:V13"/>
    <mergeCell ref="H13:L13"/>
    <mergeCell ref="H15:L15"/>
    <mergeCell ref="J27:M27"/>
    <mergeCell ref="H19:N19"/>
    <mergeCell ref="AF13:AR13"/>
    <mergeCell ref="AF15:AR15"/>
    <mergeCell ref="W33:Y33"/>
    <mergeCell ref="P33:V33"/>
    <mergeCell ref="G33:I33"/>
    <mergeCell ref="L33:O33"/>
    <mergeCell ref="J33:K33"/>
    <mergeCell ref="AF19:AK19"/>
    <mergeCell ref="AF21:AJ21"/>
    <mergeCell ref="AF23:AJ23"/>
    <mergeCell ref="J29:O29"/>
    <mergeCell ref="J31:O31"/>
  </mergeCells>
  <dataValidations count="3">
    <dataValidation showInputMessage="1" showErrorMessage="1" sqref="J21:V21 AF13:AR13"/>
    <dataValidation type="list" allowBlank="1" showInputMessage="1" showErrorMessage="1" sqref="AF11">
      <formula1>$C$42:$C$47</formula1>
    </dataValidation>
    <dataValidation type="list" allowBlank="1" showInputMessage="1" showErrorMessage="1" sqref="H11">
      <formula1>$L$42:$L$43</formula1>
    </dataValidation>
  </dataValidations>
  <printOptions/>
  <pageMargins left="0.75" right="0.75" top="1" bottom="1" header="0.5" footer="0.5"/>
  <pageSetup orientation="landscape" paperSize="9" r:id="rId4"/>
  <drawing r:id="rId3"/>
  <legacyDrawing r:id="rId2"/>
  <oleObjects>
    <oleObject progId="Word.Picture.8" shapeId="1819506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R51"/>
  <sheetViews>
    <sheetView zoomScalePageLayoutView="0" workbookViewId="0" topLeftCell="A5">
      <selection activeCell="B22" sqref="B22"/>
    </sheetView>
  </sheetViews>
  <sheetFormatPr defaultColWidth="9.140625" defaultRowHeight="12.75"/>
  <cols>
    <col min="1" max="1" width="13.140625" style="0" customWidth="1"/>
    <col min="2" max="2" width="12.140625" style="0" customWidth="1"/>
    <col min="3" max="14" width="9.28125" style="0" customWidth="1"/>
  </cols>
  <sheetData>
    <row r="1" spans="1:6" ht="12.75">
      <c r="A1" s="129" t="s">
        <v>306</v>
      </c>
      <c r="B1" s="130">
        <v>0.15</v>
      </c>
      <c r="C1" s="696" t="s">
        <v>307</v>
      </c>
      <c r="D1" s="696"/>
      <c r="E1" s="696"/>
      <c r="F1" s="696"/>
    </row>
    <row r="2" spans="2:6" ht="12.75">
      <c r="B2" s="131">
        <v>67.5</v>
      </c>
      <c r="C2" s="696" t="s">
        <v>308</v>
      </c>
      <c r="D2" s="696"/>
      <c r="E2" s="696"/>
      <c r="F2" s="696"/>
    </row>
    <row r="3" spans="2:6" ht="12.75">
      <c r="B3" s="132">
        <v>3.3</v>
      </c>
      <c r="C3" s="696" t="s">
        <v>309</v>
      </c>
      <c r="D3" s="696"/>
      <c r="E3" s="696"/>
      <c r="F3" s="696"/>
    </row>
    <row r="4" spans="2:6" ht="12.75">
      <c r="B4" s="133">
        <v>10270.8</v>
      </c>
      <c r="C4" s="696" t="s">
        <v>310</v>
      </c>
      <c r="D4" s="696"/>
      <c r="E4" s="696"/>
      <c r="F4" s="696"/>
    </row>
    <row r="6" ht="12.75">
      <c r="B6" s="134" t="s">
        <v>311</v>
      </c>
    </row>
    <row r="7" spans="2:17" s="77" customFormat="1" ht="12.75">
      <c r="B7" s="695" t="s">
        <v>312</v>
      </c>
      <c r="C7" s="695"/>
      <c r="D7" s="695"/>
      <c r="E7" s="135" t="s">
        <v>313</v>
      </c>
      <c r="F7" s="695" t="s">
        <v>314</v>
      </c>
      <c r="G7" s="695"/>
      <c r="H7" s="695"/>
      <c r="I7" s="695" t="s">
        <v>315</v>
      </c>
      <c r="J7" s="695"/>
      <c r="K7" s="695"/>
      <c r="L7" s="695" t="s">
        <v>316</v>
      </c>
      <c r="M7" s="695"/>
      <c r="N7" s="695"/>
      <c r="O7" s="692" t="s">
        <v>355</v>
      </c>
      <c r="P7" s="693"/>
      <c r="Q7" s="694"/>
    </row>
    <row r="8" spans="2:17" ht="12.75">
      <c r="B8" s="136" t="s">
        <v>317</v>
      </c>
      <c r="C8" s="136" t="s">
        <v>318</v>
      </c>
      <c r="D8" s="136" t="s">
        <v>319</v>
      </c>
      <c r="E8" s="137" t="s">
        <v>320</v>
      </c>
      <c r="F8" s="136" t="s">
        <v>321</v>
      </c>
      <c r="G8" s="136" t="s">
        <v>318</v>
      </c>
      <c r="H8" s="136" t="s">
        <v>319</v>
      </c>
      <c r="I8" s="136" t="s">
        <v>322</v>
      </c>
      <c r="J8" s="136" t="s">
        <v>318</v>
      </c>
      <c r="K8" s="136" t="s">
        <v>319</v>
      </c>
      <c r="L8" s="136" t="s">
        <v>322</v>
      </c>
      <c r="M8" s="136" t="s">
        <v>318</v>
      </c>
      <c r="N8" s="136" t="s">
        <v>319</v>
      </c>
      <c r="O8" s="136" t="s">
        <v>322</v>
      </c>
      <c r="P8" s="136" t="s">
        <v>318</v>
      </c>
      <c r="Q8" s="136" t="s">
        <v>319</v>
      </c>
    </row>
    <row r="9" spans="1:17" ht="12.75">
      <c r="A9" t="s">
        <v>323</v>
      </c>
      <c r="B9" s="131">
        <f>H34</f>
        <v>69.1</v>
      </c>
      <c r="C9" s="138">
        <f>E34</f>
        <v>147.54</v>
      </c>
      <c r="D9" s="139">
        <f>B9*C9</f>
        <v>10195.014</v>
      </c>
      <c r="E9" s="140">
        <f>E37</f>
        <v>0.79</v>
      </c>
      <c r="F9" s="139">
        <f>B9*E9</f>
        <v>54.589</v>
      </c>
      <c r="G9" s="131">
        <f>D37</f>
        <v>164.45</v>
      </c>
      <c r="H9" s="139">
        <f>F9*G9</f>
        <v>8977.161049999999</v>
      </c>
      <c r="I9" s="139">
        <f>F9*100/0.75</f>
        <v>7278.533333333333</v>
      </c>
      <c r="J9" s="132">
        <v>3</v>
      </c>
      <c r="K9" s="139">
        <f>I9*J9</f>
        <v>21835.6</v>
      </c>
      <c r="L9" s="139">
        <f>I9</f>
        <v>7278.533333333333</v>
      </c>
      <c r="M9" s="132">
        <v>4</v>
      </c>
      <c r="N9" s="139">
        <f>L9*M9</f>
        <v>29114.13333333333</v>
      </c>
      <c r="O9">
        <v>3633</v>
      </c>
      <c r="P9" s="132">
        <v>4</v>
      </c>
      <c r="Q9" s="139">
        <f>O9*P9</f>
        <v>14532</v>
      </c>
    </row>
    <row r="10" spans="1:17" ht="12.75">
      <c r="A10" t="s">
        <v>324</v>
      </c>
      <c r="B10" s="141"/>
      <c r="C10" s="141"/>
      <c r="D10" s="437">
        <v>0.3</v>
      </c>
      <c r="E10" s="142"/>
      <c r="F10" s="141"/>
      <c r="G10" s="141"/>
      <c r="H10" s="436">
        <v>0.15</v>
      </c>
      <c r="I10" s="141"/>
      <c r="J10" s="141"/>
      <c r="K10" s="143">
        <v>0.25</v>
      </c>
      <c r="L10" s="141"/>
      <c r="M10" s="141"/>
      <c r="N10" s="143">
        <v>0.05</v>
      </c>
      <c r="P10" s="141"/>
      <c r="Q10" s="143">
        <v>0.05</v>
      </c>
    </row>
    <row r="11" spans="1:17" ht="12.75">
      <c r="A11" t="s">
        <v>325</v>
      </c>
      <c r="B11" s="128"/>
      <c r="C11" s="128"/>
      <c r="D11" s="139">
        <f>D9*D10</f>
        <v>3058.5042</v>
      </c>
      <c r="E11" s="128"/>
      <c r="F11" s="128"/>
      <c r="G11" s="128"/>
      <c r="H11" s="139">
        <f>H9*H10</f>
        <v>1346.5741574999997</v>
      </c>
      <c r="I11" s="128"/>
      <c r="J11" s="128"/>
      <c r="K11" s="139">
        <f>I9*K10</f>
        <v>1819.6333333333332</v>
      </c>
      <c r="L11" s="128"/>
      <c r="M11" s="128"/>
      <c r="N11" s="139">
        <f>N9*N10</f>
        <v>1455.7066666666667</v>
      </c>
      <c r="P11" s="128"/>
      <c r="Q11" s="139">
        <f>Q9*Q10</f>
        <v>726.6</v>
      </c>
    </row>
    <row r="12" spans="1:17" ht="12.75">
      <c r="A12" t="s">
        <v>326</v>
      </c>
      <c r="B12" s="128"/>
      <c r="C12" s="128"/>
      <c r="D12" s="144">
        <f>D9-D11</f>
        <v>7136.5098</v>
      </c>
      <c r="E12" s="145"/>
      <c r="F12" s="128"/>
      <c r="G12" s="128"/>
      <c r="H12" s="139">
        <f>H9-H11</f>
        <v>7630.5868924999995</v>
      </c>
      <c r="I12" s="128"/>
      <c r="J12" s="128"/>
      <c r="K12" s="139">
        <f>K9-K11</f>
        <v>20015.966666666667</v>
      </c>
      <c r="L12" s="128"/>
      <c r="M12" s="128"/>
      <c r="N12" s="139">
        <f>N9-N11</f>
        <v>27658.426666666666</v>
      </c>
      <c r="P12" s="128"/>
      <c r="Q12" s="139">
        <f>Q9-Q11</f>
        <v>13805.4</v>
      </c>
    </row>
    <row r="13" spans="1:16" ht="12.75">
      <c r="A13" t="s">
        <v>356</v>
      </c>
      <c r="B13" s="128"/>
      <c r="C13" s="128"/>
      <c r="D13" s="146">
        <f>D12/$B9</f>
        <v>103.278</v>
      </c>
      <c r="E13" s="145"/>
      <c r="F13" s="128"/>
      <c r="G13" s="128"/>
      <c r="H13" s="147">
        <f>H12/$B9</f>
        <v>110.428175</v>
      </c>
      <c r="I13" s="128"/>
      <c r="J13" s="128"/>
      <c r="K13" s="147">
        <f>K12/$B9</f>
        <v>289.6666666666667</v>
      </c>
      <c r="L13" s="128"/>
      <c r="M13" s="128"/>
      <c r="N13" s="147">
        <f>N12/$B9</f>
        <v>400.2666666666667</v>
      </c>
      <c r="P13" s="128"/>
    </row>
    <row r="14" spans="1:18" ht="12.75">
      <c r="A14" t="s">
        <v>365</v>
      </c>
      <c r="B14" s="128"/>
      <c r="C14" s="128"/>
      <c r="D14" s="145"/>
      <c r="E14" s="145"/>
      <c r="F14" s="128"/>
      <c r="G14" s="128"/>
      <c r="H14" s="145">
        <f>H13/D13</f>
        <v>1.069232314723368</v>
      </c>
      <c r="I14" s="128"/>
      <c r="J14" s="128"/>
      <c r="K14" s="145">
        <f>K13/D13</f>
        <v>2.8047276928936142</v>
      </c>
      <c r="L14" s="128"/>
      <c r="M14" s="128"/>
      <c r="N14" s="145">
        <f>N13/D13</f>
        <v>3.8756237210893576</v>
      </c>
      <c r="O14" s="128">
        <f>N13-K13</f>
        <v>110.60000000000002</v>
      </c>
      <c r="Q14" s="128"/>
      <c r="R14" s="145"/>
    </row>
    <row r="15" spans="2:14" ht="12.75">
      <c r="B15" s="134" t="s">
        <v>328</v>
      </c>
      <c r="L15" s="128">
        <f>K13-D13</f>
        <v>186.38866666666667</v>
      </c>
      <c r="N15">
        <f>N13/K13</f>
        <v>1.3818181818181818</v>
      </c>
    </row>
    <row r="16" spans="2:11" ht="12.75">
      <c r="B16" s="691" t="s">
        <v>329</v>
      </c>
      <c r="C16" s="691"/>
      <c r="D16" s="691"/>
      <c r="E16" s="148" t="s">
        <v>313</v>
      </c>
      <c r="F16" s="691" t="s">
        <v>330</v>
      </c>
      <c r="G16" s="691"/>
      <c r="H16" s="691"/>
      <c r="I16" s="691" t="s">
        <v>331</v>
      </c>
      <c r="J16" s="691"/>
      <c r="K16" s="691"/>
    </row>
    <row r="17" spans="2:11" ht="12.75">
      <c r="B17" s="136" t="s">
        <v>317</v>
      </c>
      <c r="C17" s="136" t="s">
        <v>318</v>
      </c>
      <c r="D17" s="136" t="s">
        <v>319</v>
      </c>
      <c r="E17" s="137" t="s">
        <v>320</v>
      </c>
      <c r="F17" s="136" t="s">
        <v>317</v>
      </c>
      <c r="G17" s="136" t="s">
        <v>318</v>
      </c>
      <c r="H17" s="136" t="s">
        <v>319</v>
      </c>
      <c r="I17" s="136" t="s">
        <v>317</v>
      </c>
      <c r="J17" s="136" t="s">
        <v>318</v>
      </c>
      <c r="K17" s="136" t="s">
        <v>319</v>
      </c>
    </row>
    <row r="18" spans="1:11" ht="12.75">
      <c r="A18" t="s">
        <v>323</v>
      </c>
      <c r="B18" s="133">
        <v>1</v>
      </c>
      <c r="C18" s="131">
        <f>E41</f>
        <v>42.88</v>
      </c>
      <c r="D18" s="139">
        <f>B18*C18</f>
        <v>42.88</v>
      </c>
      <c r="E18" s="149">
        <f>F44</f>
        <v>0.108</v>
      </c>
      <c r="F18" s="133">
        <f>B18*E18</f>
        <v>0.108</v>
      </c>
      <c r="G18" s="131">
        <f>D44</f>
        <v>578.66</v>
      </c>
      <c r="H18" s="139">
        <f>F18*G18</f>
        <v>62.495279999999994</v>
      </c>
      <c r="I18" s="133">
        <f>F18</f>
        <v>0.108</v>
      </c>
      <c r="J18" s="150">
        <f>ROUND(G18*1.5,-1)</f>
        <v>870</v>
      </c>
      <c r="K18" s="139">
        <f>I18*J18</f>
        <v>93.96</v>
      </c>
    </row>
    <row r="19" spans="1:11" ht="12.75">
      <c r="A19" t="s">
        <v>324</v>
      </c>
      <c r="D19" s="130">
        <v>0.3</v>
      </c>
      <c r="E19" s="142"/>
      <c r="F19" s="141"/>
      <c r="G19" s="141"/>
      <c r="H19" s="143">
        <v>0.05</v>
      </c>
      <c r="I19" s="141"/>
      <c r="J19" s="141"/>
      <c r="K19" s="151">
        <v>0.1</v>
      </c>
    </row>
    <row r="20" spans="1:11" ht="12.75">
      <c r="A20" t="s">
        <v>325</v>
      </c>
      <c r="D20" s="139">
        <f>D18*D19</f>
        <v>12.864</v>
      </c>
      <c r="E20" s="128"/>
      <c r="F20" s="128"/>
      <c r="G20" s="128"/>
      <c r="H20" s="139">
        <f>H18*H19</f>
        <v>3.124764</v>
      </c>
      <c r="I20" s="128"/>
      <c r="J20" s="128"/>
      <c r="K20" s="139">
        <f>K18*K19</f>
        <v>9.395999999999999</v>
      </c>
    </row>
    <row r="21" spans="1:11" ht="12.75">
      <c r="A21" t="s">
        <v>327</v>
      </c>
      <c r="D21" s="146">
        <f>D18-D20</f>
        <v>30.016000000000002</v>
      </c>
      <c r="E21" s="145"/>
      <c r="F21" s="128"/>
      <c r="G21" s="128"/>
      <c r="H21" s="146">
        <f>H18-H20</f>
        <v>59.370515999999995</v>
      </c>
      <c r="I21" s="128"/>
      <c r="J21" s="128"/>
      <c r="K21" s="146">
        <f>K18-K20</f>
        <v>84.564</v>
      </c>
    </row>
    <row r="22" ht="12.75">
      <c r="H22" s="145">
        <f>H21/D21</f>
        <v>1.9779622867803834</v>
      </c>
    </row>
    <row r="23" ht="12.75">
      <c r="B23" s="134" t="s">
        <v>332</v>
      </c>
    </row>
    <row r="24" spans="2:11" ht="12.75">
      <c r="B24" s="691" t="s">
        <v>333</v>
      </c>
      <c r="C24" s="691"/>
      <c r="D24" s="691"/>
      <c r="E24" s="148" t="s">
        <v>313</v>
      </c>
      <c r="F24" s="691" t="s">
        <v>334</v>
      </c>
      <c r="G24" s="691"/>
      <c r="H24" s="691"/>
      <c r="I24" s="691" t="s">
        <v>296</v>
      </c>
      <c r="J24" s="691"/>
      <c r="K24" s="691"/>
    </row>
    <row r="25" spans="2:11" ht="12.75">
      <c r="B25" s="136" t="s">
        <v>317</v>
      </c>
      <c r="C25" s="136" t="s">
        <v>318</v>
      </c>
      <c r="D25" s="136" t="s">
        <v>319</v>
      </c>
      <c r="E25" s="137" t="s">
        <v>320</v>
      </c>
      <c r="F25" s="136" t="s">
        <v>317</v>
      </c>
      <c r="G25" s="136" t="s">
        <v>318</v>
      </c>
      <c r="H25" s="136" t="s">
        <v>319</v>
      </c>
      <c r="I25" s="136" t="s">
        <v>317</v>
      </c>
      <c r="J25" s="136" t="s">
        <v>318</v>
      </c>
      <c r="K25" s="136" t="s">
        <v>319</v>
      </c>
    </row>
    <row r="26" spans="2:11" ht="12.75">
      <c r="B26" s="133">
        <v>1</v>
      </c>
      <c r="C26" s="152">
        <f>D48</f>
        <v>51.41</v>
      </c>
      <c r="D26" s="133">
        <f>B26*C26</f>
        <v>51.41</v>
      </c>
      <c r="E26" s="149">
        <f>F51</f>
        <v>0.09669421487603305</v>
      </c>
      <c r="F26" s="133">
        <f>B26*E26</f>
        <v>0.09669421487603305</v>
      </c>
      <c r="G26" s="152">
        <f>D51</f>
        <v>810.43</v>
      </c>
      <c r="H26" s="133">
        <f>F26*G26</f>
        <v>78.36389256198346</v>
      </c>
      <c r="I26" s="133">
        <f>F26</f>
        <v>0.09669421487603305</v>
      </c>
      <c r="J26" s="150">
        <f>ROUND(G26*1.5,-1)</f>
        <v>1220</v>
      </c>
      <c r="K26" s="133">
        <f>I26*J26</f>
        <v>117.96694214876032</v>
      </c>
    </row>
    <row r="27" spans="1:11" ht="12.75">
      <c r="A27" t="s">
        <v>324</v>
      </c>
      <c r="D27" s="130">
        <v>0.3</v>
      </c>
      <c r="E27" s="142"/>
      <c r="F27" s="141"/>
      <c r="G27" s="141"/>
      <c r="H27" s="143">
        <v>0.05</v>
      </c>
      <c r="I27" s="141"/>
      <c r="J27" s="141"/>
      <c r="K27" s="151">
        <v>0.1</v>
      </c>
    </row>
    <row r="28" spans="1:11" ht="12.75">
      <c r="A28" t="s">
        <v>325</v>
      </c>
      <c r="D28" s="139">
        <f>D26*D27</f>
        <v>15.422999999999998</v>
      </c>
      <c r="E28" s="128"/>
      <c r="F28" s="128"/>
      <c r="G28" s="128"/>
      <c r="H28" s="139">
        <f>H26*H27</f>
        <v>3.9181946280991733</v>
      </c>
      <c r="I28" s="128"/>
      <c r="J28" s="128"/>
      <c r="K28" s="139">
        <f>K26*K27</f>
        <v>11.796694214876034</v>
      </c>
    </row>
    <row r="29" spans="1:11" ht="12.75">
      <c r="A29" t="s">
        <v>327</v>
      </c>
      <c r="D29" s="146">
        <f>D26-D28</f>
        <v>35.986999999999995</v>
      </c>
      <c r="E29" s="145"/>
      <c r="F29" s="128"/>
      <c r="G29" s="128"/>
      <c r="H29" s="146">
        <f>H26-H28</f>
        <v>74.44569793388429</v>
      </c>
      <c r="I29" s="128"/>
      <c r="J29" s="128"/>
      <c r="K29" s="146">
        <f>K26-K28</f>
        <v>106.1702479338843</v>
      </c>
    </row>
    <row r="32" ht="12.75">
      <c r="B32" s="153" t="s">
        <v>312</v>
      </c>
    </row>
    <row r="33" spans="2:11" ht="38.25">
      <c r="B33" s="154" t="s">
        <v>335</v>
      </c>
      <c r="C33" s="154" t="s">
        <v>336</v>
      </c>
      <c r="D33" s="155" t="s">
        <v>337</v>
      </c>
      <c r="E33" s="156" t="s">
        <v>338</v>
      </c>
      <c r="F33" s="157"/>
      <c r="G33" s="156" t="s">
        <v>339</v>
      </c>
      <c r="H33" s="156" t="s">
        <v>340</v>
      </c>
      <c r="K33" t="s">
        <v>459</v>
      </c>
    </row>
    <row r="34" spans="2:8" ht="12.75">
      <c r="B34" s="434" t="s">
        <v>453</v>
      </c>
      <c r="C34" s="434" t="s">
        <v>454</v>
      </c>
      <c r="D34" s="434" t="s">
        <v>457</v>
      </c>
      <c r="E34" s="435">
        <f>ROUND(C34/B34,2)</f>
        <v>147.54</v>
      </c>
      <c r="F34" s="435"/>
      <c r="G34" s="435">
        <f>72+53</f>
        <v>125</v>
      </c>
      <c r="H34" s="435">
        <f>ROUND(B34/G34,2)</f>
        <v>69.1</v>
      </c>
    </row>
    <row r="35" ht="12.75">
      <c r="B35" s="134" t="s">
        <v>314</v>
      </c>
    </row>
    <row r="36" spans="2:11" ht="63.75">
      <c r="B36" s="154" t="s">
        <v>335</v>
      </c>
      <c r="C36" s="155" t="s">
        <v>341</v>
      </c>
      <c r="D36" s="156" t="s">
        <v>338</v>
      </c>
      <c r="E36" s="156" t="s">
        <v>342</v>
      </c>
      <c r="G36" s="156" t="s">
        <v>343</v>
      </c>
      <c r="H36" s="156" t="s">
        <v>344</v>
      </c>
      <c r="K36" s="156" t="s">
        <v>458</v>
      </c>
    </row>
    <row r="37" spans="2:11" ht="12.75">
      <c r="B37" s="434" t="s">
        <v>455</v>
      </c>
      <c r="C37" s="434" t="s">
        <v>456</v>
      </c>
      <c r="D37" s="435">
        <f>ROUND(C37/B37,2)</f>
        <v>164.45</v>
      </c>
      <c r="E37" s="435">
        <f>ROUND(B37/D34,3)</f>
        <v>0.79</v>
      </c>
      <c r="G37">
        <v>68</v>
      </c>
      <c r="H37" s="127">
        <f>ROUND(D34/G37,0)</f>
        <v>57</v>
      </c>
      <c r="I37" s="159" t="s">
        <v>345</v>
      </c>
      <c r="K37" s="435">
        <v>96265</v>
      </c>
    </row>
    <row r="39" ht="12.75">
      <c r="B39" s="134" t="s">
        <v>329</v>
      </c>
    </row>
    <row r="40" spans="2:5" ht="38.25">
      <c r="B40" s="154" t="s">
        <v>346</v>
      </c>
      <c r="C40" s="154" t="s">
        <v>347</v>
      </c>
      <c r="D40" s="155" t="s">
        <v>337</v>
      </c>
      <c r="E40" s="154" t="s">
        <v>338</v>
      </c>
    </row>
    <row r="41" spans="2:5" ht="12.75">
      <c r="B41" s="160">
        <v>271285.26</v>
      </c>
      <c r="C41" s="160">
        <v>11632036</v>
      </c>
      <c r="D41">
        <v>161463.3</v>
      </c>
      <c r="E41" s="161">
        <f>ROUND(C41/B41,2)</f>
        <v>42.88</v>
      </c>
    </row>
    <row r="42" ht="12.75">
      <c r="B42" s="134" t="s">
        <v>348</v>
      </c>
    </row>
    <row r="43" spans="2:13" ht="38.25">
      <c r="B43" s="154" t="s">
        <v>346</v>
      </c>
      <c r="C43" s="154" t="s">
        <v>347</v>
      </c>
      <c r="D43" s="155" t="s">
        <v>338</v>
      </c>
      <c r="E43" s="154" t="s">
        <v>335</v>
      </c>
      <c r="F43" s="162" t="s">
        <v>342</v>
      </c>
      <c r="G43" s="163" t="s">
        <v>343</v>
      </c>
      <c r="H43" s="156" t="s">
        <v>349</v>
      </c>
      <c r="L43" t="s">
        <v>350</v>
      </c>
      <c r="M43" t="s">
        <v>351</v>
      </c>
    </row>
    <row r="44" spans="2:14" ht="12.75">
      <c r="B44">
        <v>17185.55</v>
      </c>
      <c r="C44">
        <v>9944649</v>
      </c>
      <c r="D44" s="161">
        <f>ROUND(C44/B44,2)</f>
        <v>578.66</v>
      </c>
      <c r="E44">
        <v>17359.57</v>
      </c>
      <c r="F44">
        <f>ROUND(E44/D41,3)</f>
        <v>0.108</v>
      </c>
      <c r="G44">
        <v>649</v>
      </c>
      <c r="H44" s="127">
        <f>ROUND(D41/G44,0)</f>
        <v>249</v>
      </c>
      <c r="I44" s="159" t="s">
        <v>352</v>
      </c>
      <c r="L44">
        <f>H44/32</f>
        <v>7.78125</v>
      </c>
      <c r="M44">
        <f>L44*18</f>
        <v>140.0625</v>
      </c>
      <c r="N44">
        <f>M44/H44</f>
        <v>0.5625</v>
      </c>
    </row>
    <row r="46" ht="12.75">
      <c r="B46" s="134" t="s">
        <v>353</v>
      </c>
    </row>
    <row r="47" spans="2:5" ht="38.25">
      <c r="B47" s="154" t="s">
        <v>346</v>
      </c>
      <c r="C47" s="154" t="s">
        <v>347</v>
      </c>
      <c r="D47" s="154" t="s">
        <v>338</v>
      </c>
      <c r="E47" s="154" t="s">
        <v>337</v>
      </c>
    </row>
    <row r="48" spans="2:15" ht="12.75">
      <c r="B48" s="158">
        <v>65.94</v>
      </c>
      <c r="C48" s="158">
        <v>3390</v>
      </c>
      <c r="D48" s="158">
        <f>ROUND(C48/B48,2)</f>
        <v>51.41</v>
      </c>
      <c r="E48" s="158">
        <v>121</v>
      </c>
      <c r="M48" s="158"/>
      <c r="N48" s="158"/>
      <c r="O48" s="158"/>
    </row>
    <row r="49" ht="12.75">
      <c r="B49" s="134" t="s">
        <v>354</v>
      </c>
    </row>
    <row r="50" spans="2:8" ht="38.25">
      <c r="B50" s="154" t="s">
        <v>346</v>
      </c>
      <c r="C50" s="154" t="s">
        <v>347</v>
      </c>
      <c r="D50" s="154" t="s">
        <v>338</v>
      </c>
      <c r="E50" s="154" t="s">
        <v>335</v>
      </c>
      <c r="F50" s="162" t="s">
        <v>342</v>
      </c>
      <c r="G50" s="163" t="s">
        <v>343</v>
      </c>
      <c r="H50" s="156" t="s">
        <v>349</v>
      </c>
    </row>
    <row r="51" spans="2:9" ht="12.75">
      <c r="B51" s="158">
        <v>11.7</v>
      </c>
      <c r="C51" s="158">
        <v>9482</v>
      </c>
      <c r="D51" s="158">
        <f>ROUND(C51/B51,2)</f>
        <v>810.43</v>
      </c>
      <c r="E51">
        <v>11.7</v>
      </c>
      <c r="F51">
        <f>E51/E48</f>
        <v>0.09669421487603305</v>
      </c>
      <c r="G51" s="164">
        <v>6</v>
      </c>
      <c r="H51" s="127">
        <f>ROUND(D48/G51,0)</f>
        <v>9</v>
      </c>
      <c r="I51" s="159" t="s">
        <v>352</v>
      </c>
    </row>
  </sheetData>
  <sheetProtection sheet="1" objects="1" scenarios="1" selectLockedCells="1" selectUnlockedCells="1"/>
  <mergeCells count="15">
    <mergeCell ref="C1:F1"/>
    <mergeCell ref="C2:F2"/>
    <mergeCell ref="C3:F3"/>
    <mergeCell ref="C4:F4"/>
    <mergeCell ref="B16:D16"/>
    <mergeCell ref="F16:H16"/>
    <mergeCell ref="I16:K16"/>
    <mergeCell ref="B24:D24"/>
    <mergeCell ref="F24:H24"/>
    <mergeCell ref="I24:K24"/>
    <mergeCell ref="O7:Q7"/>
    <mergeCell ref="B7:D7"/>
    <mergeCell ref="F7:H7"/>
    <mergeCell ref="I7:K7"/>
    <mergeCell ref="L7:N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B1:AJ98"/>
  <sheetViews>
    <sheetView showGridLines="0" tabSelected="1" zoomScale="88" zoomScaleNormal="88" zoomScalePageLayoutView="0" workbookViewId="0" topLeftCell="C1">
      <selection activeCell="R18" sqref="R18"/>
    </sheetView>
  </sheetViews>
  <sheetFormatPr defaultColWidth="9.140625" defaultRowHeight="12.75"/>
  <cols>
    <col min="1" max="2" width="3.00390625" style="0" customWidth="1"/>
    <col min="3" max="3" width="7.8515625" style="0" customWidth="1"/>
    <col min="4" max="4" width="25.00390625" style="71" customWidth="1"/>
    <col min="5" max="5" width="7.140625" style="76" customWidth="1"/>
    <col min="6" max="6" width="1.421875" style="76" customWidth="1"/>
    <col min="7" max="7" width="12.57421875" style="0" customWidth="1"/>
    <col min="8" max="8" width="1.1484375" style="117" customWidth="1"/>
    <col min="9" max="9" width="12.57421875" style="0" customWidth="1"/>
    <col min="10" max="10" width="1.1484375" style="117" customWidth="1"/>
    <col min="11" max="11" width="12.57421875" style="0" customWidth="1"/>
    <col min="12" max="12" width="1.1484375" style="117" customWidth="1"/>
    <col min="13" max="13" width="12.57421875" style="0" customWidth="1"/>
    <col min="14" max="14" width="1.421875" style="0" customWidth="1"/>
    <col min="15" max="15" width="7.57421875" style="0" customWidth="1"/>
    <col min="16" max="16" width="32.28125" style="0" customWidth="1"/>
    <col min="17" max="17" width="1.1484375" style="0" customWidth="1"/>
    <col min="18" max="18" width="10.7109375" style="0" customWidth="1"/>
    <col min="19" max="19" width="1.1484375" style="117" customWidth="1"/>
    <col min="20" max="20" width="8.28125" style="0" customWidth="1"/>
    <col min="21" max="21" width="1.1484375" style="117" customWidth="1"/>
    <col min="22" max="22" width="10.7109375" style="0" customWidth="1"/>
    <col min="23" max="23" width="1.1484375" style="117" customWidth="1"/>
    <col min="24" max="24" width="8.28125" style="0" customWidth="1"/>
    <col min="25" max="25" width="1.1484375" style="0" customWidth="1"/>
    <col min="27" max="27" width="3.00390625" style="0" customWidth="1"/>
    <col min="29" max="29" width="2.28125" style="0" hidden="1" customWidth="1"/>
    <col min="30" max="30" width="12.00390625" style="0" hidden="1" customWidth="1"/>
    <col min="31" max="31" width="8.28125" style="0" hidden="1" customWidth="1"/>
    <col min="32" max="32" width="2.421875" style="0" hidden="1" customWidth="1"/>
    <col min="33" max="33" width="9.28125" style="0" customWidth="1"/>
    <col min="34" max="34" width="10.140625" style="0" customWidth="1"/>
  </cols>
  <sheetData>
    <row r="1" spans="4:23" s="338" customFormat="1" ht="23.25" customHeight="1">
      <c r="D1" s="341"/>
      <c r="E1" s="342"/>
      <c r="F1" s="343"/>
      <c r="H1" s="344"/>
      <c r="I1" s="345" t="s">
        <v>251</v>
      </c>
      <c r="J1" s="344"/>
      <c r="K1" s="344"/>
      <c r="L1" s="344"/>
      <c r="M1" s="344"/>
      <c r="S1" s="344"/>
      <c r="U1" s="344"/>
      <c r="W1" s="344"/>
    </row>
    <row r="2" spans="4:23" s="338" customFormat="1" ht="6.75" customHeight="1">
      <c r="D2" s="343"/>
      <c r="E2" s="343"/>
      <c r="F2" s="343"/>
      <c r="G2" s="346"/>
      <c r="H2" s="346"/>
      <c r="I2" s="346"/>
      <c r="J2" s="346"/>
      <c r="K2" s="346"/>
      <c r="L2" s="346"/>
      <c r="M2" s="346"/>
      <c r="S2" s="346"/>
      <c r="U2" s="346"/>
      <c r="W2" s="346"/>
    </row>
    <row r="3" spans="3:33" s="338" customFormat="1" ht="24.75" customHeight="1">
      <c r="C3" s="347"/>
      <c r="D3" s="343"/>
      <c r="E3" s="342"/>
      <c r="F3" s="342"/>
      <c r="G3" s="569" t="str">
        <f>Anagrafica!AF7&amp;" - "&amp;Anagrafica!AF13&amp;" - Anno "&amp;Anagrafica!W33</f>
        <v> -  - Anno </v>
      </c>
      <c r="H3" s="569"/>
      <c r="I3" s="569"/>
      <c r="J3" s="569"/>
      <c r="K3" s="569"/>
      <c r="L3" s="569"/>
      <c r="M3" s="569"/>
      <c r="N3" s="569"/>
      <c r="O3" s="569"/>
      <c r="P3" s="569"/>
      <c r="Q3" s="569"/>
      <c r="R3" s="569"/>
      <c r="S3" s="569"/>
      <c r="T3" s="569"/>
      <c r="U3" s="346"/>
      <c r="W3" s="346"/>
      <c r="AE3" s="342"/>
      <c r="AF3" s="342"/>
      <c r="AG3" s="342"/>
    </row>
    <row r="4" spans="2:33" s="56" customFormat="1" ht="10.5" customHeight="1">
      <c r="B4" s="360"/>
      <c r="C4" s="361"/>
      <c r="D4" s="362"/>
      <c r="E4" s="350"/>
      <c r="F4" s="350"/>
      <c r="G4" s="360"/>
      <c r="H4" s="363"/>
      <c r="I4" s="360"/>
      <c r="J4" s="364"/>
      <c r="K4" s="360"/>
      <c r="L4" s="365"/>
      <c r="M4" s="365"/>
      <c r="N4" s="360"/>
      <c r="O4" s="360"/>
      <c r="P4" s="360"/>
      <c r="Q4" s="360"/>
      <c r="R4" s="360"/>
      <c r="S4" s="365"/>
      <c r="T4" s="360"/>
      <c r="U4" s="365"/>
      <c r="V4" s="360"/>
      <c r="W4" s="365"/>
      <c r="X4" s="360"/>
      <c r="Y4" s="360"/>
      <c r="Z4" s="360"/>
      <c r="AA4" s="360"/>
      <c r="AC4" s="360"/>
      <c r="AD4" s="360"/>
      <c r="AE4" s="350"/>
      <c r="AF4" s="350"/>
      <c r="AG4" s="342"/>
    </row>
    <row r="5" spans="2:33" ht="12.75">
      <c r="B5" s="95"/>
      <c r="C5" s="560" t="s">
        <v>250</v>
      </c>
      <c r="D5" s="561"/>
      <c r="E5" s="561"/>
      <c r="F5" s="114"/>
      <c r="G5" s="561" t="s">
        <v>232</v>
      </c>
      <c r="H5" s="572"/>
      <c r="I5" s="572"/>
      <c r="J5" s="572"/>
      <c r="K5" s="572"/>
      <c r="L5" s="572"/>
      <c r="M5" s="573"/>
      <c r="N5" s="117"/>
      <c r="O5" s="563" t="s">
        <v>274</v>
      </c>
      <c r="P5" s="564"/>
      <c r="Q5" s="351"/>
      <c r="R5" s="570" t="s">
        <v>189</v>
      </c>
      <c r="S5" s="570"/>
      <c r="T5" s="570"/>
      <c r="U5" s="570"/>
      <c r="V5" s="570"/>
      <c r="W5" s="570"/>
      <c r="X5" s="570"/>
      <c r="Y5" s="570"/>
      <c r="Z5" s="571"/>
      <c r="AA5" s="95"/>
      <c r="AC5" s="95"/>
      <c r="AD5" s="95"/>
      <c r="AE5" s="99"/>
      <c r="AF5" s="99"/>
      <c r="AG5" s="116"/>
    </row>
    <row r="6" spans="2:33" ht="12.75">
      <c r="B6" s="95"/>
      <c r="C6" s="112" t="s">
        <v>147</v>
      </c>
      <c r="D6" s="562" t="s">
        <v>148</v>
      </c>
      <c r="E6" s="562"/>
      <c r="F6" s="121"/>
      <c r="G6" s="119" t="s">
        <v>186</v>
      </c>
      <c r="H6" s="118"/>
      <c r="I6" s="119" t="s">
        <v>187</v>
      </c>
      <c r="J6" s="118"/>
      <c r="K6" s="118" t="s">
        <v>249</v>
      </c>
      <c r="L6" s="118"/>
      <c r="M6" s="348" t="s">
        <v>248</v>
      </c>
      <c r="N6" s="117"/>
      <c r="O6" s="565"/>
      <c r="P6" s="566"/>
      <c r="Q6" s="352"/>
      <c r="R6" s="566" t="s">
        <v>188</v>
      </c>
      <c r="S6" s="566"/>
      <c r="T6" s="566"/>
      <c r="U6" s="353"/>
      <c r="V6" s="564" t="s">
        <v>84</v>
      </c>
      <c r="W6" s="564"/>
      <c r="X6" s="564"/>
      <c r="Y6" s="338"/>
      <c r="Z6" s="557" t="s">
        <v>293</v>
      </c>
      <c r="AA6" s="95"/>
      <c r="AC6" s="100"/>
      <c r="AD6" s="100" t="s">
        <v>445</v>
      </c>
      <c r="AE6" s="555"/>
      <c r="AF6" s="555"/>
      <c r="AG6" s="116"/>
    </row>
    <row r="7" spans="2:33" s="117" customFormat="1" ht="2.25" customHeight="1">
      <c r="B7" s="95"/>
      <c r="C7" s="123"/>
      <c r="D7" s="124"/>
      <c r="E7" s="124"/>
      <c r="F7" s="111"/>
      <c r="G7" s="334"/>
      <c r="H7" s="334"/>
      <c r="I7" s="334"/>
      <c r="J7" s="334"/>
      <c r="K7" s="334"/>
      <c r="L7" s="334"/>
      <c r="M7" s="335"/>
      <c r="N7" s="116"/>
      <c r="O7" s="567"/>
      <c r="P7" s="568"/>
      <c r="Q7" s="354"/>
      <c r="R7" s="568"/>
      <c r="S7" s="568"/>
      <c r="T7" s="568"/>
      <c r="U7" s="355"/>
      <c r="V7" s="568"/>
      <c r="W7" s="568"/>
      <c r="X7" s="568"/>
      <c r="Y7" s="338"/>
      <c r="Z7" s="558"/>
      <c r="AA7" s="95"/>
      <c r="AC7" s="95"/>
      <c r="AD7" s="95"/>
      <c r="AE7" s="99"/>
      <c r="AF7" s="99"/>
      <c r="AG7" s="116"/>
    </row>
    <row r="8" spans="2:33" ht="13.5" thickBot="1">
      <c r="B8" s="95"/>
      <c r="C8" s="123" t="s">
        <v>17</v>
      </c>
      <c r="D8" s="124" t="s">
        <v>19</v>
      </c>
      <c r="E8" s="124"/>
      <c r="F8" s="111"/>
      <c r="G8" s="113"/>
      <c r="H8" s="334"/>
      <c r="I8" s="113"/>
      <c r="J8" s="334">
        <v>1</v>
      </c>
      <c r="K8" s="113"/>
      <c r="L8" s="334"/>
      <c r="M8" s="349">
        <f>IF(SUM(G8:I8,K8)&gt;0,SUM(G8:I8,K8),0)</f>
        <v>0</v>
      </c>
      <c r="N8" s="116"/>
      <c r="O8" s="356" t="s">
        <v>147</v>
      </c>
      <c r="P8" s="357" t="s">
        <v>148</v>
      </c>
      <c r="Q8" s="357"/>
      <c r="R8" s="358" t="s">
        <v>230</v>
      </c>
      <c r="S8" s="359"/>
      <c r="T8" s="358" t="s">
        <v>231</v>
      </c>
      <c r="U8" s="334"/>
      <c r="V8" s="358" t="s">
        <v>230</v>
      </c>
      <c r="W8" s="359"/>
      <c r="X8" s="358" t="s">
        <v>231</v>
      </c>
      <c r="Y8" s="338"/>
      <c r="Z8" s="559"/>
      <c r="AA8" s="95"/>
      <c r="AC8" s="95"/>
      <c r="AD8" s="95" t="s">
        <v>441</v>
      </c>
      <c r="AE8" s="411" t="s">
        <v>440</v>
      </c>
      <c r="AF8" s="99"/>
      <c r="AG8" s="116"/>
    </row>
    <row r="9" spans="2:33" s="117" customFormat="1" ht="2.25" customHeight="1">
      <c r="B9" s="95"/>
      <c r="C9" s="123"/>
      <c r="D9" s="124"/>
      <c r="E9" s="124"/>
      <c r="F9" s="111"/>
      <c r="G9" s="334"/>
      <c r="H9" s="334"/>
      <c r="I9" s="334"/>
      <c r="J9" s="334"/>
      <c r="K9" s="334"/>
      <c r="L9" s="334"/>
      <c r="M9" s="335"/>
      <c r="N9" s="116"/>
      <c r="S9" s="115"/>
      <c r="U9" s="115"/>
      <c r="W9" s="115"/>
      <c r="AA9" s="95"/>
      <c r="AC9" s="95"/>
      <c r="AD9" s="95"/>
      <c r="AE9" s="99"/>
      <c r="AF9" s="99"/>
      <c r="AG9" s="116"/>
    </row>
    <row r="10" spans="2:33" ht="13.5" thickBot="1">
      <c r="B10" s="95"/>
      <c r="C10" s="123" t="s">
        <v>21</v>
      </c>
      <c r="D10" s="124" t="s">
        <v>22</v>
      </c>
      <c r="E10" s="124"/>
      <c r="F10" s="111"/>
      <c r="G10" s="113"/>
      <c r="H10" s="334"/>
      <c r="I10" s="113"/>
      <c r="J10" s="334"/>
      <c r="K10" s="113"/>
      <c r="L10" s="334"/>
      <c r="M10" s="349">
        <f>IF(SUM(G10:I10,K10)&gt;0,SUM(G10:I10,K10),0)</f>
        <v>0</v>
      </c>
      <c r="N10" s="116"/>
      <c r="O10" s="123" t="s">
        <v>87</v>
      </c>
      <c r="P10" s="124" t="s">
        <v>89</v>
      </c>
      <c r="Q10" s="111"/>
      <c r="R10" s="120"/>
      <c r="S10" s="337"/>
      <c r="T10" s="120"/>
      <c r="U10" s="337"/>
      <c r="V10" s="120"/>
      <c r="W10" s="337"/>
      <c r="X10" s="120"/>
      <c r="Y10" s="338"/>
      <c r="Z10" s="339">
        <f>IF(((R10*T10)+(V10*X10))/365&gt;0,((R10*T10)+(V10*X10))/365,0)</f>
        <v>0</v>
      </c>
      <c r="AA10" s="95"/>
      <c r="AC10" s="95"/>
      <c r="AD10" s="414">
        <v>0.4</v>
      </c>
      <c r="AE10" s="415">
        <f>((V10*X10)/365)*AD10</f>
        <v>0</v>
      </c>
      <c r="AF10" s="99"/>
      <c r="AG10" s="116"/>
    </row>
    <row r="11" spans="2:33" s="117" customFormat="1" ht="2.25" customHeight="1">
      <c r="B11" s="95"/>
      <c r="C11" s="123"/>
      <c r="D11" s="124"/>
      <c r="E11" s="124"/>
      <c r="F11" s="111"/>
      <c r="G11" s="334"/>
      <c r="H11" s="334"/>
      <c r="I11" s="334"/>
      <c r="J11" s="334"/>
      <c r="K11" s="334"/>
      <c r="L11" s="334"/>
      <c r="M11" s="335"/>
      <c r="N11" s="116"/>
      <c r="O11" s="99"/>
      <c r="P11" s="99"/>
      <c r="Q11" s="116"/>
      <c r="R11" s="337"/>
      <c r="S11" s="337"/>
      <c r="T11" s="337"/>
      <c r="U11" s="337"/>
      <c r="V11" s="337"/>
      <c r="W11" s="337"/>
      <c r="X11" s="337"/>
      <c r="Y11" s="338"/>
      <c r="Z11" s="338"/>
      <c r="AA11" s="95"/>
      <c r="AC11" s="95"/>
      <c r="AD11" s="414"/>
      <c r="AE11" s="415">
        <f aca="true" t="shared" si="0" ref="AE11:AE31">((V11*X11)/365)*AD11</f>
        <v>0</v>
      </c>
      <c r="AF11" s="99"/>
      <c r="AG11" s="116"/>
    </row>
    <row r="12" spans="2:33" ht="13.5" thickBot="1">
      <c r="B12" s="95"/>
      <c r="C12" s="123" t="s">
        <v>24</v>
      </c>
      <c r="D12" s="124" t="s">
        <v>25</v>
      </c>
      <c r="E12" s="124"/>
      <c r="F12" s="111"/>
      <c r="G12" s="113"/>
      <c r="H12" s="334"/>
      <c r="I12" s="113"/>
      <c r="J12" s="334"/>
      <c r="K12" s="113"/>
      <c r="L12" s="334"/>
      <c r="M12" s="349">
        <f>IF(SUM(G12:I12,K12)&gt;0,SUM(G12:I12,K12),0)</f>
        <v>0</v>
      </c>
      <c r="N12" s="116"/>
      <c r="O12" s="123" t="s">
        <v>91</v>
      </c>
      <c r="P12" s="124" t="s">
        <v>92</v>
      </c>
      <c r="Q12" s="111"/>
      <c r="R12" s="120"/>
      <c r="S12" s="337"/>
      <c r="T12" s="120"/>
      <c r="U12" s="337"/>
      <c r="V12" s="120"/>
      <c r="W12" s="337"/>
      <c r="X12" s="120"/>
      <c r="Y12" s="338"/>
      <c r="Z12" s="339">
        <f>IF(((R12*T12)+(V12*X12))/365&gt;0,((R12*T12)+(V12*X12))/365,0)</f>
        <v>0</v>
      </c>
      <c r="AA12" s="95"/>
      <c r="AC12" s="95"/>
      <c r="AD12" s="414">
        <v>0.4</v>
      </c>
      <c r="AE12" s="415">
        <f t="shared" si="0"/>
        <v>0</v>
      </c>
      <c r="AF12" s="99"/>
      <c r="AG12" s="116"/>
    </row>
    <row r="13" spans="2:33" s="117" customFormat="1" ht="2.25" customHeight="1">
      <c r="B13" s="95"/>
      <c r="C13" s="123"/>
      <c r="D13" s="124"/>
      <c r="E13" s="124"/>
      <c r="F13" s="111"/>
      <c r="G13" s="334"/>
      <c r="H13" s="334"/>
      <c r="I13" s="334"/>
      <c r="J13" s="334"/>
      <c r="K13" s="334"/>
      <c r="L13" s="334"/>
      <c r="M13" s="335"/>
      <c r="N13" s="116"/>
      <c r="O13" s="99"/>
      <c r="P13" s="99"/>
      <c r="Q13" s="116"/>
      <c r="R13" s="337"/>
      <c r="S13" s="337"/>
      <c r="T13" s="337"/>
      <c r="U13" s="337"/>
      <c r="V13" s="337"/>
      <c r="W13" s="337"/>
      <c r="X13" s="337"/>
      <c r="Y13" s="338"/>
      <c r="Z13" s="338"/>
      <c r="AA13" s="95"/>
      <c r="AC13" s="95"/>
      <c r="AD13" s="414"/>
      <c r="AE13" s="415">
        <f t="shared" si="0"/>
        <v>0</v>
      </c>
      <c r="AF13" s="99"/>
      <c r="AG13" s="116"/>
    </row>
    <row r="14" spans="2:33" ht="13.5" thickBot="1">
      <c r="B14" s="95"/>
      <c r="C14" s="123" t="s">
        <v>27</v>
      </c>
      <c r="D14" s="124" t="s">
        <v>28</v>
      </c>
      <c r="E14" s="124"/>
      <c r="F14" s="111"/>
      <c r="G14" s="113"/>
      <c r="H14" s="334"/>
      <c r="I14" s="113"/>
      <c r="J14" s="334"/>
      <c r="K14" s="113"/>
      <c r="L14" s="334"/>
      <c r="M14" s="349">
        <f>IF(SUM(G14:I14,K14)&gt;0,SUM(G14:I14,K14),0)</f>
        <v>0</v>
      </c>
      <c r="N14" s="116"/>
      <c r="O14" s="123" t="s">
        <v>93</v>
      </c>
      <c r="P14" s="124" t="s">
        <v>94</v>
      </c>
      <c r="Q14" s="111"/>
      <c r="R14" s="120"/>
      <c r="S14" s="337"/>
      <c r="T14" s="120"/>
      <c r="U14" s="337"/>
      <c r="V14" s="120"/>
      <c r="W14" s="337"/>
      <c r="X14" s="120"/>
      <c r="Y14" s="338"/>
      <c r="Z14" s="339">
        <f>IF(((R14*T14)+(V14*X14))/365&gt;0,((R14*T14)+(V14*X14))/365,0)</f>
        <v>0</v>
      </c>
      <c r="AA14" s="95"/>
      <c r="AC14" s="95"/>
      <c r="AD14" s="414">
        <v>0.6</v>
      </c>
      <c r="AE14" s="415">
        <f t="shared" si="0"/>
        <v>0</v>
      </c>
      <c r="AF14" s="99"/>
      <c r="AG14" s="116"/>
    </row>
    <row r="15" spans="2:33" s="117" customFormat="1" ht="2.25" customHeight="1">
      <c r="B15" s="95"/>
      <c r="C15" s="123"/>
      <c r="D15" s="124"/>
      <c r="E15" s="124"/>
      <c r="F15" s="111"/>
      <c r="G15" s="334"/>
      <c r="H15" s="334"/>
      <c r="I15" s="334"/>
      <c r="J15" s="334"/>
      <c r="K15" s="334"/>
      <c r="L15" s="334"/>
      <c r="M15" s="335"/>
      <c r="N15" s="116"/>
      <c r="O15" s="99"/>
      <c r="P15" s="99"/>
      <c r="Q15" s="116"/>
      <c r="R15" s="337"/>
      <c r="S15" s="337"/>
      <c r="T15" s="337"/>
      <c r="U15" s="337"/>
      <c r="V15" s="337"/>
      <c r="W15" s="337"/>
      <c r="X15" s="337"/>
      <c r="Y15" s="338"/>
      <c r="Z15" s="338"/>
      <c r="AA15" s="95"/>
      <c r="AC15" s="95"/>
      <c r="AD15" s="414"/>
      <c r="AE15" s="415">
        <f t="shared" si="0"/>
        <v>0</v>
      </c>
      <c r="AF15" s="99"/>
      <c r="AG15" s="116"/>
    </row>
    <row r="16" spans="2:33" ht="13.5" thickBot="1">
      <c r="B16" s="95"/>
      <c r="C16" s="123" t="s">
        <v>30</v>
      </c>
      <c r="D16" s="124" t="s">
        <v>31</v>
      </c>
      <c r="E16" s="124"/>
      <c r="F16" s="111"/>
      <c r="G16" s="113"/>
      <c r="H16" s="334"/>
      <c r="I16" s="113"/>
      <c r="J16" s="334"/>
      <c r="K16" s="113"/>
      <c r="L16" s="334"/>
      <c r="M16" s="349">
        <f>IF(SUM(G16:I16,K16)&gt;0,SUM(G16:I16,K16),0)</f>
        <v>0</v>
      </c>
      <c r="N16" s="116"/>
      <c r="O16" s="123" t="s">
        <v>95</v>
      </c>
      <c r="P16" s="124" t="s">
        <v>96</v>
      </c>
      <c r="Q16" s="111"/>
      <c r="R16" s="120"/>
      <c r="S16" s="337"/>
      <c r="T16" s="120"/>
      <c r="U16" s="337"/>
      <c r="V16" s="120"/>
      <c r="W16" s="337"/>
      <c r="X16" s="120"/>
      <c r="Y16" s="338"/>
      <c r="Z16" s="339">
        <f>IF(((R16*T16)+(V16*X16))/365&gt;0,((R16*T16)+(V16*X16))/365,0)</f>
        <v>0</v>
      </c>
      <c r="AA16" s="95"/>
      <c r="AC16" s="95"/>
      <c r="AD16" s="414">
        <v>0.6</v>
      </c>
      <c r="AE16" s="415">
        <f t="shared" si="0"/>
        <v>0</v>
      </c>
      <c r="AF16" s="412"/>
      <c r="AG16" s="116"/>
    </row>
    <row r="17" spans="2:33" s="117" customFormat="1" ht="2.25" customHeight="1">
      <c r="B17" s="95"/>
      <c r="C17" s="123"/>
      <c r="D17" s="124"/>
      <c r="E17" s="124"/>
      <c r="F17" s="111"/>
      <c r="G17" s="334"/>
      <c r="H17" s="334"/>
      <c r="I17" s="334"/>
      <c r="J17" s="334"/>
      <c r="K17" s="334"/>
      <c r="L17" s="334"/>
      <c r="M17" s="335"/>
      <c r="N17" s="116"/>
      <c r="O17" s="99"/>
      <c r="P17" s="99"/>
      <c r="Q17" s="116"/>
      <c r="R17" s="337"/>
      <c r="S17" s="337"/>
      <c r="T17" s="337"/>
      <c r="U17" s="337"/>
      <c r="V17" s="337"/>
      <c r="W17" s="337"/>
      <c r="X17" s="337"/>
      <c r="Y17" s="338"/>
      <c r="Z17" s="338"/>
      <c r="AA17" s="95"/>
      <c r="AC17" s="95"/>
      <c r="AD17" s="414"/>
      <c r="AE17" s="415">
        <f t="shared" si="0"/>
        <v>0</v>
      </c>
      <c r="AF17" s="412"/>
      <c r="AG17" s="116"/>
    </row>
    <row r="18" spans="2:34" ht="13.5" thickBot="1">
      <c r="B18" s="95"/>
      <c r="C18" s="123" t="s">
        <v>32</v>
      </c>
      <c r="D18" s="124" t="s">
        <v>294</v>
      </c>
      <c r="E18" s="124"/>
      <c r="F18" s="111"/>
      <c r="G18" s="113"/>
      <c r="H18" s="334"/>
      <c r="I18" s="113"/>
      <c r="J18" s="334"/>
      <c r="K18" s="113"/>
      <c r="L18" s="334"/>
      <c r="M18" s="349">
        <f>IF(SUM(G18:I18,K18)&gt;0,SUM(G18:I18,K18),0)</f>
        <v>0</v>
      </c>
      <c r="N18" s="116"/>
      <c r="O18" s="123" t="s">
        <v>97</v>
      </c>
      <c r="P18" s="124" t="s">
        <v>98</v>
      </c>
      <c r="Q18" s="111"/>
      <c r="R18" s="120"/>
      <c r="S18" s="337"/>
      <c r="T18" s="120"/>
      <c r="U18" s="337"/>
      <c r="V18" s="120"/>
      <c r="W18" s="337"/>
      <c r="X18" s="120"/>
      <c r="Y18" s="338"/>
      <c r="Z18" s="339">
        <f>IF(((R18*T18)+(V18*X18))/365&gt;0,((R18*T18)+(V18*X18))/365,0)</f>
        <v>0</v>
      </c>
      <c r="AA18" s="95"/>
      <c r="AC18" s="95"/>
      <c r="AD18" s="414">
        <v>1</v>
      </c>
      <c r="AE18" s="415">
        <f t="shared" si="0"/>
        <v>0</v>
      </c>
      <c r="AF18" s="412"/>
      <c r="AG18" s="212"/>
      <c r="AH18" s="159"/>
    </row>
    <row r="19" spans="2:33" s="117" customFormat="1" ht="2.25" customHeight="1">
      <c r="B19" s="95"/>
      <c r="C19" s="123"/>
      <c r="D19" s="124"/>
      <c r="E19" s="124"/>
      <c r="F19" s="111"/>
      <c r="G19" s="334"/>
      <c r="H19" s="334"/>
      <c r="I19" s="334"/>
      <c r="J19" s="334"/>
      <c r="K19" s="334"/>
      <c r="L19" s="334"/>
      <c r="M19" s="335"/>
      <c r="N19" s="116"/>
      <c r="O19" s="99"/>
      <c r="P19" s="99"/>
      <c r="Q19" s="116"/>
      <c r="R19" s="337"/>
      <c r="S19" s="337"/>
      <c r="T19" s="337"/>
      <c r="U19" s="337"/>
      <c r="V19" s="337"/>
      <c r="W19" s="337"/>
      <c r="X19" s="337"/>
      <c r="Y19" s="338"/>
      <c r="Z19" s="338"/>
      <c r="AA19" s="95"/>
      <c r="AC19" s="95"/>
      <c r="AD19" s="414"/>
      <c r="AE19" s="415">
        <f t="shared" si="0"/>
        <v>0</v>
      </c>
      <c r="AF19" s="412"/>
      <c r="AG19" s="116"/>
    </row>
    <row r="20" spans="2:33" ht="13.5" thickBot="1">
      <c r="B20" s="95"/>
      <c r="C20" s="123" t="s">
        <v>35</v>
      </c>
      <c r="D20" s="124" t="s">
        <v>36</v>
      </c>
      <c r="E20" s="124"/>
      <c r="F20" s="111"/>
      <c r="G20" s="113"/>
      <c r="H20" s="334"/>
      <c r="I20" s="113"/>
      <c r="J20" s="334"/>
      <c r="K20" s="113"/>
      <c r="L20" s="334"/>
      <c r="M20" s="349">
        <f>IF(SUM(G20:I20,K20)&gt;0,SUM(G20:I20,K20),0)</f>
        <v>0</v>
      </c>
      <c r="N20" s="116"/>
      <c r="O20" s="123" t="s">
        <v>99</v>
      </c>
      <c r="P20" s="124" t="s">
        <v>100</v>
      </c>
      <c r="Q20" s="111"/>
      <c r="R20" s="120"/>
      <c r="S20" s="337"/>
      <c r="T20" s="120"/>
      <c r="U20" s="337"/>
      <c r="V20" s="120"/>
      <c r="W20" s="337"/>
      <c r="X20" s="120"/>
      <c r="Y20" s="338"/>
      <c r="Z20" s="339">
        <f>IF(((R20*T20)+(V20*X20))/365&gt;0,((R20*T20)+(V20*X20))/365,0)</f>
        <v>0</v>
      </c>
      <c r="AA20" s="95"/>
      <c r="AC20" s="95"/>
      <c r="AD20" s="414">
        <v>0.8</v>
      </c>
      <c r="AE20" s="415">
        <f t="shared" si="0"/>
        <v>0</v>
      </c>
      <c r="AF20" s="412"/>
      <c r="AG20" s="116"/>
    </row>
    <row r="21" spans="2:33" s="117" customFormat="1" ht="2.25" customHeight="1">
      <c r="B21" s="95"/>
      <c r="C21" s="123"/>
      <c r="D21" s="124"/>
      <c r="E21" s="124"/>
      <c r="F21" s="111"/>
      <c r="G21" s="334"/>
      <c r="H21" s="334"/>
      <c r="I21" s="334"/>
      <c r="J21" s="334"/>
      <c r="K21" s="334"/>
      <c r="L21" s="334"/>
      <c r="M21" s="336"/>
      <c r="N21" s="116"/>
      <c r="O21" s="99"/>
      <c r="P21" s="99"/>
      <c r="Q21" s="116"/>
      <c r="R21" s="340"/>
      <c r="S21" s="337"/>
      <c r="T21" s="340"/>
      <c r="U21" s="337"/>
      <c r="V21" s="340"/>
      <c r="W21" s="337"/>
      <c r="X21" s="340"/>
      <c r="Y21" s="338"/>
      <c r="Z21" s="338"/>
      <c r="AA21" s="95"/>
      <c r="AC21" s="95"/>
      <c r="AD21" s="414"/>
      <c r="AE21" s="415">
        <f t="shared" si="0"/>
        <v>0</v>
      </c>
      <c r="AF21" s="412"/>
      <c r="AG21" s="116"/>
    </row>
    <row r="22" spans="2:35" ht="13.5" thickBot="1">
      <c r="B22" s="95"/>
      <c r="C22" s="123" t="s">
        <v>38</v>
      </c>
      <c r="D22" s="124" t="s">
        <v>39</v>
      </c>
      <c r="E22" s="124"/>
      <c r="F22" s="111"/>
      <c r="G22" s="113"/>
      <c r="H22" s="334"/>
      <c r="I22" s="113"/>
      <c r="J22" s="334"/>
      <c r="K22" s="113"/>
      <c r="L22" s="334"/>
      <c r="M22" s="349">
        <f>IF(SUM(G22:I22,K22)&gt;0,SUM(G22:I22,K22),0)</f>
        <v>0</v>
      </c>
      <c r="N22" s="116"/>
      <c r="O22" s="123" t="s">
        <v>101</v>
      </c>
      <c r="P22" s="124" t="s">
        <v>102</v>
      </c>
      <c r="Q22" s="111"/>
      <c r="R22" s="120"/>
      <c r="S22" s="337"/>
      <c r="T22" s="120"/>
      <c r="U22" s="337"/>
      <c r="V22" s="120"/>
      <c r="W22" s="337"/>
      <c r="X22" s="120"/>
      <c r="Y22" s="338"/>
      <c r="Z22" s="339">
        <f>IF(((R22*T22)+(V22*X22))/365&gt;0,((R22*T22)+(V22*X22))/365,0)</f>
        <v>0</v>
      </c>
      <c r="AA22" s="95"/>
      <c r="AC22" s="95"/>
      <c r="AD22" s="414">
        <v>1</v>
      </c>
      <c r="AE22" s="415">
        <f t="shared" si="0"/>
        <v>0</v>
      </c>
      <c r="AF22" s="412"/>
      <c r="AG22" s="213"/>
      <c r="AH22" s="209"/>
      <c r="AI22" s="209"/>
    </row>
    <row r="23" spans="2:33" s="117" customFormat="1" ht="2.25" customHeight="1">
      <c r="B23" s="95"/>
      <c r="C23" s="123"/>
      <c r="D23" s="124"/>
      <c r="E23" s="124"/>
      <c r="F23" s="111"/>
      <c r="G23" s="334"/>
      <c r="H23" s="334"/>
      <c r="I23" s="334"/>
      <c r="J23" s="334"/>
      <c r="K23" s="334"/>
      <c r="L23" s="334"/>
      <c r="M23" s="335"/>
      <c r="N23" s="116"/>
      <c r="O23" s="99"/>
      <c r="P23" s="99"/>
      <c r="Q23" s="116"/>
      <c r="R23" s="337"/>
      <c r="S23" s="337"/>
      <c r="T23" s="337"/>
      <c r="U23" s="337"/>
      <c r="V23" s="337"/>
      <c r="W23" s="337"/>
      <c r="X23" s="337"/>
      <c r="Y23" s="338"/>
      <c r="Z23" s="338"/>
      <c r="AA23" s="95"/>
      <c r="AC23" s="95"/>
      <c r="AD23" s="414"/>
      <c r="AE23" s="415">
        <f t="shared" si="0"/>
        <v>0</v>
      </c>
      <c r="AF23" s="99"/>
      <c r="AG23" s="116"/>
    </row>
    <row r="24" spans="2:36" ht="13.5" thickBot="1">
      <c r="B24" s="95"/>
      <c r="C24" s="123" t="s">
        <v>41</v>
      </c>
      <c r="D24" s="124" t="s">
        <v>42</v>
      </c>
      <c r="E24" s="124"/>
      <c r="F24" s="111"/>
      <c r="G24" s="113"/>
      <c r="H24" s="334"/>
      <c r="I24" s="113"/>
      <c r="J24" s="334"/>
      <c r="K24" s="113"/>
      <c r="L24" s="334"/>
      <c r="M24" s="349">
        <f>IF(SUM(G24:I24,K24)&gt;0,SUM(G24:I24,K24),0)</f>
        <v>0</v>
      </c>
      <c r="N24" s="116"/>
      <c r="O24" s="123" t="s">
        <v>104</v>
      </c>
      <c r="P24" s="124" t="s">
        <v>105</v>
      </c>
      <c r="Q24" s="111"/>
      <c r="R24" s="120"/>
      <c r="S24" s="337"/>
      <c r="T24" s="120"/>
      <c r="U24" s="337"/>
      <c r="V24" s="120"/>
      <c r="W24" s="337"/>
      <c r="X24" s="120"/>
      <c r="Y24" s="338"/>
      <c r="Z24" s="339">
        <f>IF(((R24*T24)+(V24*X24))/365&gt;0,((R24*T24)+(V24*X24))/365,0)</f>
        <v>0</v>
      </c>
      <c r="AA24" s="95"/>
      <c r="AC24" s="95"/>
      <c r="AD24" s="414">
        <v>0.8</v>
      </c>
      <c r="AE24" s="415">
        <f t="shared" si="0"/>
        <v>0</v>
      </c>
      <c r="AF24" s="99"/>
      <c r="AG24" s="214"/>
      <c r="AH24" s="210"/>
      <c r="AI24" s="210"/>
      <c r="AJ24" s="210"/>
    </row>
    <row r="25" spans="2:36" s="117" customFormat="1" ht="2.25" customHeight="1">
      <c r="B25" s="95"/>
      <c r="C25" s="123"/>
      <c r="D25" s="124"/>
      <c r="E25" s="124"/>
      <c r="F25" s="111"/>
      <c r="G25" s="334"/>
      <c r="H25" s="334"/>
      <c r="I25" s="334"/>
      <c r="J25" s="334"/>
      <c r="K25" s="334"/>
      <c r="L25" s="334"/>
      <c r="M25" s="335"/>
      <c r="N25" s="116"/>
      <c r="O25" s="99"/>
      <c r="P25" s="99"/>
      <c r="Q25" s="116"/>
      <c r="R25" s="337"/>
      <c r="S25" s="337"/>
      <c r="T25" s="337"/>
      <c r="U25" s="337"/>
      <c r="V25" s="337"/>
      <c r="W25" s="337"/>
      <c r="X25" s="337"/>
      <c r="Y25" s="338"/>
      <c r="Z25" s="338"/>
      <c r="AA25" s="95"/>
      <c r="AC25" s="95"/>
      <c r="AD25" s="95"/>
      <c r="AE25" s="415">
        <f t="shared" si="0"/>
        <v>0</v>
      </c>
      <c r="AF25" s="99"/>
      <c r="AG25" s="214"/>
      <c r="AH25" s="211"/>
      <c r="AI25" s="211"/>
      <c r="AJ25" s="210"/>
    </row>
    <row r="26" spans="2:36" ht="13.5" thickBot="1">
      <c r="B26" s="95"/>
      <c r="C26" s="123" t="s">
        <v>44</v>
      </c>
      <c r="D26" s="124" t="s">
        <v>45</v>
      </c>
      <c r="E26" s="124"/>
      <c r="F26" s="111"/>
      <c r="G26" s="113"/>
      <c r="H26" s="334"/>
      <c r="I26" s="113"/>
      <c r="J26" s="334"/>
      <c r="K26" s="113"/>
      <c r="L26" s="334"/>
      <c r="M26" s="349">
        <f>IF(SUM(G26:K26)&gt;0,SUM(G26:K26),0)</f>
        <v>0</v>
      </c>
      <c r="N26" s="116"/>
      <c r="O26" s="123" t="s">
        <v>106</v>
      </c>
      <c r="P26" s="124" t="s">
        <v>285</v>
      </c>
      <c r="Q26" s="111"/>
      <c r="R26" s="120"/>
      <c r="S26" s="337"/>
      <c r="T26" s="120"/>
      <c r="U26" s="337"/>
      <c r="V26" s="120"/>
      <c r="W26" s="337"/>
      <c r="X26" s="120"/>
      <c r="Y26" s="338"/>
      <c r="Z26" s="339">
        <f>IF(((R26*T26)+(V26*X26))/365&gt;0,((R26*T26)+(V26*X26))/365,0)</f>
        <v>0</v>
      </c>
      <c r="AA26" s="95"/>
      <c r="AC26" s="95"/>
      <c r="AD26" s="95">
        <v>0.1</v>
      </c>
      <c r="AE26" s="415">
        <f t="shared" si="0"/>
        <v>0</v>
      </c>
      <c r="AF26" s="99"/>
      <c r="AG26" s="214"/>
      <c r="AH26" s="210"/>
      <c r="AI26" s="210"/>
      <c r="AJ26" s="210"/>
    </row>
    <row r="27" spans="2:32" s="338" customFormat="1" ht="2.25" customHeight="1">
      <c r="B27" s="360"/>
      <c r="C27" s="525"/>
      <c r="D27" s="526"/>
      <c r="E27" s="526"/>
      <c r="F27" s="527"/>
      <c r="G27" s="334"/>
      <c r="H27" s="334"/>
      <c r="I27" s="334"/>
      <c r="J27" s="334"/>
      <c r="K27" s="334"/>
      <c r="L27" s="334"/>
      <c r="M27" s="335"/>
      <c r="N27" s="342"/>
      <c r="O27" s="350"/>
      <c r="P27" s="350"/>
      <c r="Q27" s="342"/>
      <c r="R27" s="337"/>
      <c r="S27" s="337"/>
      <c r="T27" s="337"/>
      <c r="U27" s="337"/>
      <c r="V27" s="337"/>
      <c r="W27" s="337"/>
      <c r="X27" s="337"/>
      <c r="AA27" s="360"/>
      <c r="AC27" s="360"/>
      <c r="AD27" s="360"/>
      <c r="AE27" s="528">
        <f t="shared" si="0"/>
        <v>0</v>
      </c>
      <c r="AF27" s="360"/>
    </row>
    <row r="28" spans="2:32" ht="13.5" thickBot="1">
      <c r="B28" s="95"/>
      <c r="C28" s="123" t="s">
        <v>47</v>
      </c>
      <c r="D28" s="124" t="s">
        <v>48</v>
      </c>
      <c r="E28" s="124"/>
      <c r="F28" s="111"/>
      <c r="G28" s="113"/>
      <c r="H28" s="334"/>
      <c r="I28" s="113"/>
      <c r="J28" s="334"/>
      <c r="K28" s="113"/>
      <c r="L28" s="334"/>
      <c r="M28" s="349">
        <f>IF(SUM(G28:I28,K28)&gt;0,SUM(G28:I28,K28),0)</f>
        <v>0</v>
      </c>
      <c r="N28" s="116"/>
      <c r="O28" s="123" t="s">
        <v>111</v>
      </c>
      <c r="P28" s="124" t="s">
        <v>286</v>
      </c>
      <c r="Q28" s="111"/>
      <c r="R28" s="120"/>
      <c r="S28" s="337"/>
      <c r="T28" s="120"/>
      <c r="U28" s="337"/>
      <c r="V28" s="120"/>
      <c r="W28" s="337"/>
      <c r="X28" s="120"/>
      <c r="Y28" s="338"/>
      <c r="Z28" s="339">
        <f>IF(((R28*T28)+(V28*X28))/365&gt;0,((R28*T28)+(V28*X28))/365,0)</f>
        <v>0</v>
      </c>
      <c r="AA28" s="95"/>
      <c r="AC28" s="95"/>
      <c r="AD28" s="95">
        <v>0.1</v>
      </c>
      <c r="AE28" s="415">
        <f t="shared" si="0"/>
        <v>0</v>
      </c>
      <c r="AF28" s="95"/>
    </row>
    <row r="29" spans="2:32" s="338" customFormat="1" ht="2.25" customHeight="1">
      <c r="B29" s="360"/>
      <c r="C29" s="525"/>
      <c r="D29" s="526"/>
      <c r="E29" s="526"/>
      <c r="F29" s="527"/>
      <c r="G29" s="334"/>
      <c r="H29" s="334"/>
      <c r="I29" s="334"/>
      <c r="J29" s="334"/>
      <c r="K29" s="334"/>
      <c r="L29" s="334"/>
      <c r="M29" s="335"/>
      <c r="N29" s="342"/>
      <c r="O29" s="350"/>
      <c r="P29" s="350"/>
      <c r="Q29" s="342"/>
      <c r="R29" s="337"/>
      <c r="S29" s="337"/>
      <c r="T29" s="337"/>
      <c r="U29" s="337"/>
      <c r="V29" s="337"/>
      <c r="W29" s="337"/>
      <c r="X29" s="337"/>
      <c r="AA29" s="360"/>
      <c r="AC29" s="360"/>
      <c r="AD29" s="360"/>
      <c r="AE29" s="528">
        <f t="shared" si="0"/>
        <v>0</v>
      </c>
      <c r="AF29" s="360"/>
    </row>
    <row r="30" spans="2:32" ht="13.5" thickBot="1">
      <c r="B30" s="95"/>
      <c r="C30" s="123" t="s">
        <v>49</v>
      </c>
      <c r="D30" s="124" t="s">
        <v>50</v>
      </c>
      <c r="E30" s="124"/>
      <c r="F30" s="111"/>
      <c r="G30" s="113"/>
      <c r="H30" s="334"/>
      <c r="I30" s="113"/>
      <c r="J30" s="334"/>
      <c r="K30" s="113"/>
      <c r="L30" s="334"/>
      <c r="M30" s="349">
        <f>IF(SUM(G30:I30,K30)&gt;0,SUM(G30:I30,K30),0)</f>
        <v>0</v>
      </c>
      <c r="N30" s="116"/>
      <c r="O30" s="123" t="s">
        <v>108</v>
      </c>
      <c r="P30" s="124" t="s">
        <v>109</v>
      </c>
      <c r="Q30" s="111"/>
      <c r="R30" s="120"/>
      <c r="S30" s="337"/>
      <c r="T30" s="120"/>
      <c r="U30" s="337"/>
      <c r="V30" s="120"/>
      <c r="W30" s="337"/>
      <c r="X30" s="120"/>
      <c r="Y30" s="338"/>
      <c r="Z30" s="339">
        <f>IF(((R30*T30)+(V30*X30))/365&gt;0,((R30*T30)+(V30*X30))/365,0)</f>
        <v>0</v>
      </c>
      <c r="AA30" s="95"/>
      <c r="AC30" s="95"/>
      <c r="AD30" s="95">
        <v>0.1</v>
      </c>
      <c r="AE30" s="415">
        <f t="shared" si="0"/>
        <v>0</v>
      </c>
      <c r="AF30" s="95"/>
    </row>
    <row r="31" spans="2:32" s="338" customFormat="1" ht="2.25" customHeight="1">
      <c r="B31" s="360"/>
      <c r="C31" s="525"/>
      <c r="D31" s="526"/>
      <c r="E31" s="526"/>
      <c r="F31" s="527"/>
      <c r="G31" s="334"/>
      <c r="H31" s="334"/>
      <c r="I31" s="334"/>
      <c r="J31" s="334"/>
      <c r="K31" s="334"/>
      <c r="L31" s="334"/>
      <c r="M31" s="336"/>
      <c r="N31" s="342"/>
      <c r="O31" s="350"/>
      <c r="P31" s="350"/>
      <c r="Q31" s="342"/>
      <c r="R31" s="337"/>
      <c r="S31" s="337"/>
      <c r="T31" s="337"/>
      <c r="U31" s="337"/>
      <c r="V31" s="337"/>
      <c r="W31" s="337"/>
      <c r="X31" s="337"/>
      <c r="AA31" s="360"/>
      <c r="AC31" s="360"/>
      <c r="AD31" s="360"/>
      <c r="AE31" s="528">
        <f t="shared" si="0"/>
        <v>0</v>
      </c>
      <c r="AF31" s="360"/>
    </row>
    <row r="32" spans="2:32" ht="13.5" thickBot="1">
      <c r="B32" s="95"/>
      <c r="C32" s="123" t="s">
        <v>476</v>
      </c>
      <c r="D32" s="456" t="s">
        <v>478</v>
      </c>
      <c r="E32" s="124"/>
      <c r="F32" s="111"/>
      <c r="G32" s="113"/>
      <c r="H32" s="334"/>
      <c r="I32" s="113"/>
      <c r="J32" s="334"/>
      <c r="K32" s="113"/>
      <c r="L32" s="334"/>
      <c r="M32" s="349">
        <f>IF(SUM(G32:I32,K32)&gt;0,SUM(G32:I32,K32),0)</f>
        <v>0</v>
      </c>
      <c r="N32" s="116"/>
      <c r="O32" s="123" t="s">
        <v>112</v>
      </c>
      <c r="P32" s="124" t="s">
        <v>113</v>
      </c>
      <c r="Q32" s="111"/>
      <c r="R32" s="120"/>
      <c r="S32" s="337"/>
      <c r="T32" s="120"/>
      <c r="U32" s="337"/>
      <c r="V32" s="120"/>
      <c r="W32" s="337"/>
      <c r="X32" s="120"/>
      <c r="Y32" s="338"/>
      <c r="Z32" s="339">
        <f>IF(((R32*T32)+(V32*X32))/365&gt;0,((R32*T32)+(V32*X32))/365,0)</f>
        <v>0</v>
      </c>
      <c r="AA32" s="95"/>
      <c r="AC32" s="95"/>
      <c r="AD32" s="95"/>
      <c r="AE32" s="415"/>
      <c r="AF32" s="95"/>
    </row>
    <row r="33" spans="2:32" s="338" customFormat="1" ht="2.25" customHeight="1">
      <c r="B33" s="360"/>
      <c r="C33" s="525"/>
      <c r="D33" s="529"/>
      <c r="E33" s="526"/>
      <c r="F33" s="527"/>
      <c r="G33" s="334"/>
      <c r="H33" s="334"/>
      <c r="I33" s="334"/>
      <c r="J33" s="334"/>
      <c r="K33" s="334"/>
      <c r="L33" s="334"/>
      <c r="M33" s="499"/>
      <c r="N33" s="342"/>
      <c r="O33" s="350"/>
      <c r="P33" s="350"/>
      <c r="Q33" s="342"/>
      <c r="R33" s="337"/>
      <c r="S33" s="337"/>
      <c r="T33" s="337"/>
      <c r="U33" s="337"/>
      <c r="V33" s="337"/>
      <c r="W33" s="337"/>
      <c r="X33" s="337"/>
      <c r="AA33" s="360"/>
      <c r="AC33" s="360"/>
      <c r="AD33" s="360"/>
      <c r="AE33" s="528"/>
      <c r="AF33" s="360"/>
    </row>
    <row r="34" spans="2:32" ht="13.5" thickBot="1">
      <c r="B34" s="95"/>
      <c r="C34" s="123" t="s">
        <v>477</v>
      </c>
      <c r="D34" s="456" t="s">
        <v>479</v>
      </c>
      <c r="E34" s="124"/>
      <c r="F34" s="111"/>
      <c r="G34" s="113"/>
      <c r="H34" s="334"/>
      <c r="I34" s="113"/>
      <c r="J34" s="334"/>
      <c r="K34" s="113"/>
      <c r="L34" s="334"/>
      <c r="M34" s="349">
        <f>IF(SUM(G34:I34,K34)&gt;0,SUM(G34:I34,K34),0)</f>
        <v>0</v>
      </c>
      <c r="N34" s="116"/>
      <c r="O34" s="123" t="s">
        <v>114</v>
      </c>
      <c r="P34" s="124" t="s">
        <v>115</v>
      </c>
      <c r="Q34" s="111"/>
      <c r="R34" s="120"/>
      <c r="S34" s="337"/>
      <c r="T34" s="120"/>
      <c r="U34" s="337"/>
      <c r="V34" s="120"/>
      <c r="W34" s="337"/>
      <c r="X34" s="120"/>
      <c r="Y34" s="338"/>
      <c r="Z34" s="339">
        <f>IF(((R34*T34)+(V34*X34))/365&gt;0,((R34*T34)+(V34*X34))/365,0)</f>
        <v>0</v>
      </c>
      <c r="AA34" s="95"/>
      <c r="AC34" s="95"/>
      <c r="AD34" s="95"/>
      <c r="AE34" s="415"/>
      <c r="AF34" s="95"/>
    </row>
    <row r="35" spans="2:32" s="338" customFormat="1" ht="2.25" customHeight="1">
      <c r="B35" s="360"/>
      <c r="C35" s="525"/>
      <c r="D35" s="526"/>
      <c r="E35" s="526"/>
      <c r="F35" s="527"/>
      <c r="G35" s="334"/>
      <c r="H35" s="334"/>
      <c r="I35" s="334"/>
      <c r="J35" s="334"/>
      <c r="K35" s="334"/>
      <c r="L35" s="334"/>
      <c r="M35" s="499"/>
      <c r="N35" s="342"/>
      <c r="O35" s="350"/>
      <c r="P35" s="350"/>
      <c r="Q35" s="342"/>
      <c r="R35" s="337"/>
      <c r="S35" s="337"/>
      <c r="T35" s="337"/>
      <c r="U35" s="337"/>
      <c r="V35" s="337"/>
      <c r="W35" s="337"/>
      <c r="X35" s="337"/>
      <c r="AA35" s="360"/>
      <c r="AC35" s="360"/>
      <c r="AD35" s="360"/>
      <c r="AE35" s="528"/>
      <c r="AF35" s="360"/>
    </row>
    <row r="36" spans="2:32" ht="13.5" thickBot="1">
      <c r="B36" s="95"/>
      <c r="C36" s="123" t="s">
        <v>52</v>
      </c>
      <c r="D36" s="124" t="s">
        <v>53</v>
      </c>
      <c r="E36" s="124"/>
      <c r="F36" s="111"/>
      <c r="G36" s="113"/>
      <c r="H36" s="334"/>
      <c r="I36" s="113"/>
      <c r="J36" s="334"/>
      <c r="K36" s="113"/>
      <c r="L36" s="334"/>
      <c r="M36" s="349">
        <f>IF(SUM(G36:I36,K36)&gt;0,SUM(G36:I36,K36),0)</f>
        <v>0</v>
      </c>
      <c r="N36" s="116"/>
      <c r="O36" s="123" t="s">
        <v>117</v>
      </c>
      <c r="P36" s="124" t="s">
        <v>118</v>
      </c>
      <c r="Q36" s="111"/>
      <c r="R36" s="120"/>
      <c r="S36" s="337"/>
      <c r="T36" s="120"/>
      <c r="U36" s="337"/>
      <c r="V36" s="120"/>
      <c r="W36" s="337"/>
      <c r="X36" s="120"/>
      <c r="Y36" s="338"/>
      <c r="Z36" s="339">
        <f>IF(((R36*T36)+(V36*X36))/365&gt;0,((R36*T36)+(V36*X36))/365,0)</f>
        <v>0</v>
      </c>
      <c r="AA36" s="95"/>
      <c r="AC36" s="95"/>
      <c r="AD36" s="95">
        <v>0.1</v>
      </c>
      <c r="AE36" s="415">
        <f>((V32*X32)/365)*AD36</f>
        <v>0</v>
      </c>
      <c r="AF36" s="95"/>
    </row>
    <row r="37" spans="2:32" s="338" customFormat="1" ht="2.25" customHeight="1">
      <c r="B37" s="360"/>
      <c r="C37" s="525"/>
      <c r="D37" s="526"/>
      <c r="E37" s="526"/>
      <c r="F37" s="527"/>
      <c r="G37" s="334"/>
      <c r="H37" s="334"/>
      <c r="I37" s="334"/>
      <c r="J37" s="334"/>
      <c r="K37" s="334"/>
      <c r="L37" s="334"/>
      <c r="M37" s="335"/>
      <c r="N37" s="342"/>
      <c r="O37" s="350"/>
      <c r="P37" s="350"/>
      <c r="Q37" s="342"/>
      <c r="R37" s="337"/>
      <c r="S37" s="337"/>
      <c r="T37" s="337"/>
      <c r="U37" s="337"/>
      <c r="V37" s="337"/>
      <c r="W37" s="337"/>
      <c r="X37" s="337"/>
      <c r="AA37" s="360"/>
      <c r="AC37" s="360"/>
      <c r="AD37" s="360"/>
      <c r="AE37" s="528"/>
      <c r="AF37" s="360"/>
    </row>
    <row r="38" spans="2:32" ht="13.5" thickBot="1">
      <c r="B38" s="95"/>
      <c r="C38" s="123" t="s">
        <v>471</v>
      </c>
      <c r="D38" s="456" t="s">
        <v>472</v>
      </c>
      <c r="E38" s="124"/>
      <c r="F38" s="111"/>
      <c r="G38" s="113"/>
      <c r="H38" s="334"/>
      <c r="I38" s="113"/>
      <c r="J38" s="334"/>
      <c r="K38" s="113"/>
      <c r="L38" s="334"/>
      <c r="M38" s="349">
        <f>IF(SUM(G38:I38,K38)&gt;0,SUM(G38:I38,K38),0)</f>
        <v>0</v>
      </c>
      <c r="N38" s="116"/>
      <c r="O38" s="123" t="s">
        <v>120</v>
      </c>
      <c r="P38" s="124" t="s">
        <v>121</v>
      </c>
      <c r="Q38" s="111"/>
      <c r="R38" s="120"/>
      <c r="S38" s="337"/>
      <c r="T38" s="120"/>
      <c r="U38" s="337"/>
      <c r="V38" s="120"/>
      <c r="W38" s="337"/>
      <c r="X38" s="120"/>
      <c r="Y38" s="338"/>
      <c r="Z38" s="339">
        <f>IF(((R38*T38)+(V38*X38))/365&gt;0,((R38*T38)+(V38*X38))/365,0)</f>
        <v>0</v>
      </c>
      <c r="AA38" s="95"/>
      <c r="AC38" s="95"/>
      <c r="AD38" s="95"/>
      <c r="AE38" s="415"/>
      <c r="AF38" s="95"/>
    </row>
    <row r="39" spans="2:32" s="338" customFormat="1" ht="2.25" customHeight="1">
      <c r="B39" s="360"/>
      <c r="C39" s="525"/>
      <c r="D39" s="529"/>
      <c r="E39" s="526"/>
      <c r="F39" s="527"/>
      <c r="G39" s="334"/>
      <c r="H39" s="334"/>
      <c r="I39" s="334"/>
      <c r="J39" s="334"/>
      <c r="K39" s="334"/>
      <c r="L39" s="334"/>
      <c r="M39" s="335"/>
      <c r="N39" s="342"/>
      <c r="O39" s="350"/>
      <c r="P39" s="350"/>
      <c r="Q39" s="342"/>
      <c r="R39" s="337"/>
      <c r="S39" s="337"/>
      <c r="T39" s="337"/>
      <c r="U39" s="337"/>
      <c r="V39" s="337"/>
      <c r="W39" s="337"/>
      <c r="X39" s="337"/>
      <c r="AA39" s="360"/>
      <c r="AC39" s="360"/>
      <c r="AD39" s="360"/>
      <c r="AE39" s="528" t="e">
        <f>((#REF!*#REF!)/365)*AD39</f>
        <v>#REF!</v>
      </c>
      <c r="AF39" s="360"/>
    </row>
    <row r="40" spans="2:32" ht="13.5" thickBot="1">
      <c r="B40" s="95"/>
      <c r="C40" s="123" t="s">
        <v>473</v>
      </c>
      <c r="D40" s="456" t="s">
        <v>475</v>
      </c>
      <c r="E40" s="124"/>
      <c r="F40" s="111"/>
      <c r="G40" s="113"/>
      <c r="H40" s="334"/>
      <c r="I40" s="113"/>
      <c r="J40" s="334"/>
      <c r="K40" s="113"/>
      <c r="L40" s="334"/>
      <c r="M40" s="349">
        <f>IF(SUM(G40:I40,K40)&gt;0,SUM(G40:I40,K40),0)</f>
        <v>0</v>
      </c>
      <c r="N40" s="116"/>
      <c r="O40" s="123" t="s">
        <v>122</v>
      </c>
      <c r="P40" s="124" t="s">
        <v>123</v>
      </c>
      <c r="Q40" s="111"/>
      <c r="R40" s="120"/>
      <c r="S40" s="337"/>
      <c r="T40" s="120"/>
      <c r="U40" s="337"/>
      <c r="V40" s="120"/>
      <c r="W40" s="337"/>
      <c r="X40" s="120"/>
      <c r="Y40" s="338"/>
      <c r="Z40" s="339">
        <f>IF(((R40*T40)+(V40*X40))/365&gt;0,((R40*T40)+(V40*X40))/365,0)</f>
        <v>0</v>
      </c>
      <c r="AA40" s="95"/>
      <c r="AC40" s="95"/>
      <c r="AD40" s="95"/>
      <c r="AE40" s="415"/>
      <c r="AF40" s="95"/>
    </row>
    <row r="41" spans="2:32" s="338" customFormat="1" ht="2.25" customHeight="1">
      <c r="B41" s="360"/>
      <c r="C41" s="525"/>
      <c r="D41" s="526"/>
      <c r="E41" s="526"/>
      <c r="F41" s="527"/>
      <c r="G41" s="334"/>
      <c r="H41" s="334"/>
      <c r="I41" s="334"/>
      <c r="J41" s="334"/>
      <c r="K41" s="334"/>
      <c r="L41" s="334"/>
      <c r="M41" s="335"/>
      <c r="N41" s="342"/>
      <c r="O41" s="350"/>
      <c r="P41" s="350"/>
      <c r="Q41" s="342"/>
      <c r="R41" s="337"/>
      <c r="S41" s="337"/>
      <c r="T41" s="337"/>
      <c r="U41" s="337"/>
      <c r="V41" s="337"/>
      <c r="W41" s="337"/>
      <c r="X41" s="337"/>
      <c r="AA41" s="360"/>
      <c r="AC41" s="360"/>
      <c r="AD41" s="360"/>
      <c r="AE41" s="528"/>
      <c r="AF41" s="360"/>
    </row>
    <row r="42" spans="2:32" ht="13.5" thickBot="1">
      <c r="B42" s="95"/>
      <c r="C42" s="123" t="s">
        <v>480</v>
      </c>
      <c r="D42" s="456" t="s">
        <v>481</v>
      </c>
      <c r="E42" s="124"/>
      <c r="F42" s="111"/>
      <c r="G42" s="113"/>
      <c r="H42" s="334"/>
      <c r="I42" s="113"/>
      <c r="J42" s="334"/>
      <c r="K42" s="113"/>
      <c r="L42" s="334"/>
      <c r="M42" s="349">
        <f>IF(SUM(G42:I42,K42)&gt;0,SUM(G42:I42,K42),0)</f>
        <v>0</v>
      </c>
      <c r="N42" s="116"/>
      <c r="O42" s="123" t="s">
        <v>124</v>
      </c>
      <c r="P42" s="124" t="s">
        <v>125</v>
      </c>
      <c r="Q42" s="111"/>
      <c r="R42" s="120"/>
      <c r="S42" s="337"/>
      <c r="T42" s="120"/>
      <c r="U42" s="337"/>
      <c r="V42" s="120"/>
      <c r="W42" s="337"/>
      <c r="X42" s="120"/>
      <c r="Y42" s="338"/>
      <c r="Z42" s="339">
        <f>IF(((R42*T42)+(V42*X42))/365&gt;0,((R42*T42)+(V42*X42))/365,0)</f>
        <v>0</v>
      </c>
      <c r="AA42" s="95"/>
      <c r="AC42" s="95"/>
      <c r="AD42" s="95"/>
      <c r="AE42" s="415"/>
      <c r="AF42" s="95"/>
    </row>
    <row r="43" spans="2:32" s="338" customFormat="1" ht="2.25" customHeight="1">
      <c r="B43" s="360"/>
      <c r="C43" s="525"/>
      <c r="D43" s="526"/>
      <c r="E43" s="526"/>
      <c r="F43" s="527"/>
      <c r="G43" s="334"/>
      <c r="H43" s="334"/>
      <c r="I43" s="334"/>
      <c r="J43" s="334"/>
      <c r="K43" s="334"/>
      <c r="L43" s="334"/>
      <c r="M43" s="335"/>
      <c r="N43" s="342"/>
      <c r="O43" s="350"/>
      <c r="P43" s="350"/>
      <c r="Q43" s="342"/>
      <c r="R43" s="337"/>
      <c r="S43" s="337"/>
      <c r="T43" s="337"/>
      <c r="U43" s="337"/>
      <c r="V43" s="337"/>
      <c r="W43" s="337"/>
      <c r="X43" s="337"/>
      <c r="AA43" s="360"/>
      <c r="AC43" s="360"/>
      <c r="AD43" s="360"/>
      <c r="AE43" s="528"/>
      <c r="AF43" s="360"/>
    </row>
    <row r="44" spans="2:32" ht="13.5" thickBot="1">
      <c r="B44" s="95"/>
      <c r="C44" s="123">
        <v>14</v>
      </c>
      <c r="D44" s="124" t="s">
        <v>55</v>
      </c>
      <c r="E44" s="124"/>
      <c r="F44" s="111"/>
      <c r="G44" s="113"/>
      <c r="H44" s="334"/>
      <c r="I44" s="113"/>
      <c r="J44" s="334"/>
      <c r="K44" s="113"/>
      <c r="L44" s="334"/>
      <c r="M44" s="349">
        <f>IF(SUM(G44:I44,K44)&gt;0,SUM(G44:I44,K44),0)</f>
        <v>0</v>
      </c>
      <c r="N44" s="116"/>
      <c r="O44" s="123" t="s">
        <v>127</v>
      </c>
      <c r="P44" s="124" t="s">
        <v>128</v>
      </c>
      <c r="Q44" s="111"/>
      <c r="R44" s="120"/>
      <c r="S44" s="337"/>
      <c r="T44" s="120"/>
      <c r="U44" s="337"/>
      <c r="V44" s="120"/>
      <c r="W44" s="337"/>
      <c r="X44" s="120"/>
      <c r="Y44" s="338"/>
      <c r="Z44" s="339">
        <f>IF(((R44*T44)+(V44*X44))/365&gt;0,((R44*T44)+(V44*X44))/365,0)</f>
        <v>0</v>
      </c>
      <c r="AA44" s="95"/>
      <c r="AC44" s="95"/>
      <c r="AD44" s="413" t="s">
        <v>442</v>
      </c>
      <c r="AE44" s="416">
        <f>SUM(AE10:AE36)</f>
        <v>0</v>
      </c>
      <c r="AF44" s="95"/>
    </row>
    <row r="45" spans="2:32" s="117" customFormat="1" ht="2.25" customHeight="1">
      <c r="B45" s="95"/>
      <c r="C45" s="123"/>
      <c r="D45" s="124"/>
      <c r="E45" s="124"/>
      <c r="F45" s="111"/>
      <c r="G45" s="334"/>
      <c r="H45" s="334"/>
      <c r="I45" s="334"/>
      <c r="J45" s="334"/>
      <c r="K45" s="334"/>
      <c r="L45" s="334"/>
      <c r="M45" s="335"/>
      <c r="N45" s="116"/>
      <c r="O45" s="99"/>
      <c r="P45" s="99"/>
      <c r="Q45" s="116"/>
      <c r="R45" s="337"/>
      <c r="S45" s="337"/>
      <c r="T45" s="337"/>
      <c r="U45" s="337"/>
      <c r="V45" s="337"/>
      <c r="W45" s="337"/>
      <c r="X45" s="337"/>
      <c r="Y45" s="338"/>
      <c r="Z45" s="338"/>
      <c r="AA45" s="95"/>
      <c r="AC45" s="95"/>
      <c r="AD45" s="413"/>
      <c r="AE45" s="417"/>
      <c r="AF45" s="95"/>
    </row>
    <row r="46" spans="2:32" ht="13.5" thickBot="1">
      <c r="B46" s="95"/>
      <c r="C46" s="123" t="s">
        <v>57</v>
      </c>
      <c r="D46" s="124" t="s">
        <v>58</v>
      </c>
      <c r="E46" s="124"/>
      <c r="F46" s="111"/>
      <c r="G46" s="113"/>
      <c r="H46" s="334"/>
      <c r="I46" s="113"/>
      <c r="J46" s="334"/>
      <c r="K46" s="113"/>
      <c r="L46" s="334"/>
      <c r="M46" s="349">
        <f>IF(SUM(G46:I46,K46)&gt;0,SUM(G46:I46,K46),0)</f>
        <v>0</v>
      </c>
      <c r="N46" s="116"/>
      <c r="O46" s="123" t="s">
        <v>130</v>
      </c>
      <c r="P46" s="124" t="s">
        <v>131</v>
      </c>
      <c r="Q46" s="111"/>
      <c r="R46" s="120"/>
      <c r="S46" s="337"/>
      <c r="T46" s="120"/>
      <c r="U46" s="337"/>
      <c r="V46" s="120"/>
      <c r="W46" s="337"/>
      <c r="X46" s="120"/>
      <c r="Y46" s="338"/>
      <c r="Z46" s="339">
        <f>IF(((R46*T46)+(V46*X46))/365&gt;0,((R46*T46)+(V46*X46))/365,0)</f>
        <v>0</v>
      </c>
      <c r="AA46" s="95"/>
      <c r="AC46" s="95"/>
      <c r="AD46" s="413" t="s">
        <v>443</v>
      </c>
      <c r="AE46" s="417">
        <f>SUM(G60:K62)</f>
        <v>0</v>
      </c>
      <c r="AF46" s="95"/>
    </row>
    <row r="47" spans="2:31" s="117" customFormat="1" ht="2.25" customHeight="1">
      <c r="B47" s="95"/>
      <c r="C47" s="123"/>
      <c r="D47" s="124"/>
      <c r="E47" s="124"/>
      <c r="F47" s="111"/>
      <c r="G47" s="334"/>
      <c r="H47" s="334"/>
      <c r="I47" s="334"/>
      <c r="J47" s="334"/>
      <c r="K47" s="334"/>
      <c r="L47" s="334"/>
      <c r="M47" s="335"/>
      <c r="N47" s="116"/>
      <c r="O47" s="99"/>
      <c r="P47" s="99"/>
      <c r="Q47" s="116"/>
      <c r="R47" s="337"/>
      <c r="S47" s="337"/>
      <c r="T47" s="337"/>
      <c r="U47" s="337"/>
      <c r="V47" s="337"/>
      <c r="W47" s="337"/>
      <c r="X47" s="337"/>
      <c r="Y47" s="338"/>
      <c r="Z47" s="338"/>
      <c r="AA47" s="95"/>
      <c r="AD47" s="413"/>
      <c r="AE47" s="417"/>
    </row>
    <row r="48" spans="2:32" ht="13.5" thickBot="1">
      <c r="B48" s="95"/>
      <c r="C48" s="123" t="s">
        <v>60</v>
      </c>
      <c r="D48" s="500" t="s">
        <v>466</v>
      </c>
      <c r="E48" s="124"/>
      <c r="F48" s="111"/>
      <c r="G48" s="113"/>
      <c r="H48" s="334"/>
      <c r="I48" s="113"/>
      <c r="J48" s="334"/>
      <c r="K48" s="113"/>
      <c r="L48" s="334"/>
      <c r="M48" s="349">
        <f>IF(SUM(G48:I48,K48)&gt;0,SUM(G48:I48,K48),0)</f>
        <v>0</v>
      </c>
      <c r="N48" s="116"/>
      <c r="O48" s="123" t="s">
        <v>132</v>
      </c>
      <c r="P48" s="124" t="s">
        <v>133</v>
      </c>
      <c r="Q48" s="111"/>
      <c r="R48" s="120"/>
      <c r="S48" s="337"/>
      <c r="T48" s="120"/>
      <c r="U48" s="337"/>
      <c r="V48" s="120"/>
      <c r="W48" s="337"/>
      <c r="X48" s="120"/>
      <c r="Y48" s="338"/>
      <c r="Z48" s="339">
        <f>IF(((R48*T48)+(V48*X48))/365&gt;0,((R48*T48)+(V48*X48))/365,0)</f>
        <v>0</v>
      </c>
      <c r="AA48" s="95"/>
      <c r="AC48" s="95"/>
      <c r="AD48" s="413" t="s">
        <v>444</v>
      </c>
      <c r="AE48" s="418">
        <f>IF(AE46&gt;0,(AE44/AE46),0)</f>
        <v>0</v>
      </c>
      <c r="AF48" s="95"/>
    </row>
    <row r="49" spans="2:27" s="117" customFormat="1" ht="2.25" customHeight="1">
      <c r="B49" s="95"/>
      <c r="C49" s="123"/>
      <c r="D49" s="500"/>
      <c r="E49" s="124"/>
      <c r="F49" s="111"/>
      <c r="G49" s="334"/>
      <c r="H49" s="334"/>
      <c r="I49" s="334"/>
      <c r="J49" s="334"/>
      <c r="K49" s="334"/>
      <c r="L49" s="334"/>
      <c r="M49" s="335"/>
      <c r="N49" s="116"/>
      <c r="O49" s="99"/>
      <c r="P49" s="99"/>
      <c r="Q49" s="116"/>
      <c r="R49" s="337"/>
      <c r="S49" s="337"/>
      <c r="T49" s="337"/>
      <c r="U49" s="337"/>
      <c r="V49" s="337"/>
      <c r="W49" s="337"/>
      <c r="X49" s="337"/>
      <c r="Y49" s="338"/>
      <c r="Z49" s="338"/>
      <c r="AA49" s="95"/>
    </row>
    <row r="50" spans="2:27" ht="13.5" thickBot="1">
      <c r="B50" s="95"/>
      <c r="C50" s="123" t="s">
        <v>62</v>
      </c>
      <c r="D50" s="500" t="s">
        <v>63</v>
      </c>
      <c r="E50" s="124"/>
      <c r="F50" s="111"/>
      <c r="G50" s="113"/>
      <c r="H50" s="334"/>
      <c r="I50" s="113"/>
      <c r="J50" s="334"/>
      <c r="K50" s="113"/>
      <c r="L50" s="334"/>
      <c r="M50" s="349">
        <f>IF(SUM(G50:I50,K50)&gt;0,SUM(G50:I50,K50),0)</f>
        <v>0</v>
      </c>
      <c r="N50" s="116"/>
      <c r="O50" s="123" t="s">
        <v>134</v>
      </c>
      <c r="P50" s="124" t="s">
        <v>380</v>
      </c>
      <c r="Q50" s="111"/>
      <c r="R50" s="120"/>
      <c r="S50" s="337"/>
      <c r="T50" s="120"/>
      <c r="U50" s="337"/>
      <c r="V50" s="120"/>
      <c r="W50" s="337"/>
      <c r="X50" s="120"/>
      <c r="Y50" s="338"/>
      <c r="Z50" s="339">
        <f>IF(((R50*T50)+(V50*X50))/365&gt;0,((R50*T50)+(V50*X50))/365,0)</f>
        <v>0</v>
      </c>
      <c r="AA50" s="95"/>
    </row>
    <row r="51" spans="2:27" s="117" customFormat="1" ht="2.25" customHeight="1">
      <c r="B51" s="95"/>
      <c r="C51" s="123"/>
      <c r="D51" s="500"/>
      <c r="E51" s="124"/>
      <c r="F51" s="111"/>
      <c r="G51" s="334"/>
      <c r="H51" s="334"/>
      <c r="I51" s="334"/>
      <c r="J51" s="334"/>
      <c r="K51" s="334"/>
      <c r="L51" s="334"/>
      <c r="M51" s="335"/>
      <c r="N51" s="116"/>
      <c r="O51" s="99"/>
      <c r="P51" s="99"/>
      <c r="Q51" s="116"/>
      <c r="R51" s="337"/>
      <c r="S51" s="337"/>
      <c r="T51" s="337"/>
      <c r="U51" s="337"/>
      <c r="V51" s="337"/>
      <c r="W51" s="337"/>
      <c r="X51" s="337"/>
      <c r="Y51" s="338"/>
      <c r="Z51" s="338"/>
      <c r="AA51" s="95"/>
    </row>
    <row r="52" spans="2:27" ht="13.5" thickBot="1">
      <c r="B52" s="95"/>
      <c r="C52" s="123" t="s">
        <v>65</v>
      </c>
      <c r="D52" s="500" t="s">
        <v>66</v>
      </c>
      <c r="E52" s="124"/>
      <c r="F52" s="111"/>
      <c r="G52" s="113"/>
      <c r="H52" s="334"/>
      <c r="I52" s="113"/>
      <c r="J52" s="334"/>
      <c r="K52" s="113"/>
      <c r="L52" s="334"/>
      <c r="M52" s="349">
        <f>IF(SUM(G52:I52,K52)&gt;0,SUM(G52:I52,K52),0)</f>
        <v>0</v>
      </c>
      <c r="N52" s="116"/>
      <c r="O52" s="123" t="s">
        <v>137</v>
      </c>
      <c r="P52" s="124" t="s">
        <v>138</v>
      </c>
      <c r="Q52" s="111"/>
      <c r="R52" s="120"/>
      <c r="S52" s="337"/>
      <c r="T52" s="120"/>
      <c r="U52" s="337"/>
      <c r="V52" s="120"/>
      <c r="W52" s="337"/>
      <c r="X52" s="120"/>
      <c r="Y52" s="338"/>
      <c r="Z52" s="339">
        <f>IF(((R52*T52)+(V52*X52))/365&gt;0,((R52*T52)+(V52*X52))/365,0)</f>
        <v>0</v>
      </c>
      <c r="AA52" s="95"/>
    </row>
    <row r="53" spans="2:27" s="117" customFormat="1" ht="2.25" customHeight="1">
      <c r="B53" s="95"/>
      <c r="C53" s="123"/>
      <c r="D53" s="500"/>
      <c r="E53" s="124"/>
      <c r="F53" s="111"/>
      <c r="G53" s="334"/>
      <c r="H53" s="334"/>
      <c r="I53" s="334"/>
      <c r="J53" s="334"/>
      <c r="K53" s="334"/>
      <c r="L53" s="334"/>
      <c r="M53" s="336"/>
      <c r="N53" s="116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</row>
    <row r="54" spans="2:27" ht="13.5" thickBot="1">
      <c r="B54" s="95"/>
      <c r="C54" s="123" t="s">
        <v>68</v>
      </c>
      <c r="D54" s="500" t="s">
        <v>69</v>
      </c>
      <c r="E54" s="124"/>
      <c r="F54" s="111"/>
      <c r="G54" s="113"/>
      <c r="H54" s="334"/>
      <c r="I54" s="113"/>
      <c r="J54" s="334"/>
      <c r="K54" s="113"/>
      <c r="L54" s="334"/>
      <c r="M54" s="349">
        <f>IF(SUM(G54:I54,K54)&gt;0,SUM(G54:I54,K54),0)</f>
        <v>0</v>
      </c>
      <c r="N54" s="116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</row>
    <row r="55" spans="2:27" s="117" customFormat="1" ht="2.25" customHeight="1">
      <c r="B55" s="95"/>
      <c r="C55" s="123"/>
      <c r="D55" s="500"/>
      <c r="E55" s="124"/>
      <c r="F55" s="111"/>
      <c r="G55" s="334"/>
      <c r="H55" s="334"/>
      <c r="I55" s="334"/>
      <c r="J55" s="334"/>
      <c r="K55" s="334"/>
      <c r="L55" s="334"/>
      <c r="M55" s="335"/>
      <c r="N55" s="116"/>
      <c r="O55" s="360"/>
      <c r="P55" s="360"/>
      <c r="Q55" s="360"/>
      <c r="R55" s="360"/>
      <c r="S55" s="360"/>
      <c r="T55" s="360"/>
      <c r="U55" s="360"/>
      <c r="V55" s="360"/>
      <c r="W55" s="360"/>
      <c r="X55" s="360"/>
      <c r="Y55" s="360"/>
      <c r="Z55" s="360"/>
      <c r="AA55" s="95"/>
    </row>
    <row r="56" spans="2:27" ht="13.5" thickBot="1">
      <c r="B56" s="95"/>
      <c r="C56" s="123" t="s">
        <v>70</v>
      </c>
      <c r="D56" s="500" t="s">
        <v>71</v>
      </c>
      <c r="E56" s="124"/>
      <c r="F56" s="111"/>
      <c r="G56" s="113"/>
      <c r="H56" s="334"/>
      <c r="I56" s="113"/>
      <c r="J56" s="334"/>
      <c r="K56" s="113"/>
      <c r="L56" s="334"/>
      <c r="M56" s="349">
        <f>IF(SUM(G56:I56,K56)&gt;0,SUM(G56:I56,K56),0)</f>
        <v>0</v>
      </c>
      <c r="N56" s="116"/>
      <c r="O56" s="360"/>
      <c r="P56" s="360"/>
      <c r="Q56" s="360"/>
      <c r="R56" s="360"/>
      <c r="S56" s="360"/>
      <c r="T56" s="360"/>
      <c r="U56" s="360"/>
      <c r="V56" s="360"/>
      <c r="W56" s="360"/>
      <c r="X56" s="360"/>
      <c r="Y56" s="360"/>
      <c r="Z56" s="360"/>
      <c r="AA56" s="95"/>
    </row>
    <row r="57" spans="2:27" s="117" customFormat="1" ht="2.25" customHeight="1">
      <c r="B57" s="95"/>
      <c r="C57" s="123"/>
      <c r="D57" s="500"/>
      <c r="E57" s="124"/>
      <c r="F57" s="111"/>
      <c r="G57" s="334"/>
      <c r="H57" s="334"/>
      <c r="I57" s="334"/>
      <c r="J57" s="334"/>
      <c r="K57" s="334"/>
      <c r="L57" s="334"/>
      <c r="M57" s="335"/>
      <c r="N57" s="116"/>
      <c r="O57" s="360"/>
      <c r="P57" s="360"/>
      <c r="Q57" s="360"/>
      <c r="R57" s="360"/>
      <c r="S57" s="360"/>
      <c r="T57" s="360"/>
      <c r="U57" s="360"/>
      <c r="V57" s="360"/>
      <c r="W57" s="360"/>
      <c r="X57" s="360"/>
      <c r="Y57" s="360"/>
      <c r="Z57" s="360"/>
      <c r="AA57" s="95"/>
    </row>
    <row r="58" spans="2:27" ht="13.5" thickBot="1">
      <c r="B58" s="95"/>
      <c r="C58" s="123" t="s">
        <v>73</v>
      </c>
      <c r="D58" s="500" t="s">
        <v>74</v>
      </c>
      <c r="E58" s="124"/>
      <c r="F58" s="111"/>
      <c r="G58" s="113"/>
      <c r="H58" s="334"/>
      <c r="I58" s="113"/>
      <c r="J58" s="334"/>
      <c r="K58" s="113"/>
      <c r="L58" s="334"/>
      <c r="M58" s="349">
        <f>IF(SUM(G58:I58,K58)&gt;0,SUM(G58:I58,K58),0)</f>
        <v>0</v>
      </c>
      <c r="N58" s="116"/>
      <c r="O58" s="360"/>
      <c r="P58" s="360"/>
      <c r="Q58" s="360"/>
      <c r="R58" s="360"/>
      <c r="S58" s="360"/>
      <c r="T58" s="360"/>
      <c r="U58" s="360"/>
      <c r="V58" s="360"/>
      <c r="W58" s="360"/>
      <c r="X58" s="360"/>
      <c r="Y58" s="360"/>
      <c r="Z58" s="360"/>
      <c r="AA58" s="95"/>
    </row>
    <row r="59" spans="2:27" s="117" customFormat="1" ht="2.25" customHeight="1">
      <c r="B59" s="95"/>
      <c r="C59" s="123"/>
      <c r="D59" s="500"/>
      <c r="E59" s="124"/>
      <c r="F59" s="111"/>
      <c r="G59" s="334"/>
      <c r="H59" s="334"/>
      <c r="I59" s="334"/>
      <c r="J59" s="334"/>
      <c r="K59" s="334"/>
      <c r="L59" s="334"/>
      <c r="M59" s="335"/>
      <c r="N59" s="116"/>
      <c r="O59" s="360"/>
      <c r="P59" s="360"/>
      <c r="Q59" s="360"/>
      <c r="R59" s="360"/>
      <c r="S59" s="360"/>
      <c r="T59" s="360"/>
      <c r="U59" s="360"/>
      <c r="V59" s="360"/>
      <c r="W59" s="360"/>
      <c r="X59" s="360"/>
      <c r="Y59" s="360"/>
      <c r="Z59" s="360"/>
      <c r="AA59" s="95"/>
    </row>
    <row r="60" spans="2:27" ht="13.5" thickBot="1">
      <c r="B60" s="95"/>
      <c r="C60" s="123" t="s">
        <v>82</v>
      </c>
      <c r="D60" s="500" t="s">
        <v>83</v>
      </c>
      <c r="E60" s="124"/>
      <c r="F60" s="111"/>
      <c r="G60" s="113"/>
      <c r="H60" s="334"/>
      <c r="I60" s="113"/>
      <c r="J60" s="334"/>
      <c r="K60" s="113"/>
      <c r="L60" s="334"/>
      <c r="M60" s="349">
        <f>IF(SUM(G60:I60,K60)&gt;0,SUM(G60:I60,K60),0)</f>
        <v>0</v>
      </c>
      <c r="N60" s="116"/>
      <c r="O60" s="360"/>
      <c r="P60" s="360"/>
      <c r="Q60" s="360"/>
      <c r="R60" s="360"/>
      <c r="S60" s="360"/>
      <c r="T60" s="360"/>
      <c r="U60" s="360"/>
      <c r="V60" s="360"/>
      <c r="W60" s="360"/>
      <c r="X60" s="360"/>
      <c r="Y60" s="360"/>
      <c r="Z60" s="360"/>
      <c r="AA60" s="95"/>
    </row>
    <row r="61" spans="2:27" s="117" customFormat="1" ht="2.25" customHeight="1">
      <c r="B61" s="95"/>
      <c r="C61" s="123"/>
      <c r="D61" s="500"/>
      <c r="E61" s="124"/>
      <c r="F61" s="111"/>
      <c r="G61" s="334"/>
      <c r="H61" s="334"/>
      <c r="I61" s="334"/>
      <c r="J61" s="334"/>
      <c r="K61" s="334"/>
      <c r="L61" s="334"/>
      <c r="M61" s="335"/>
      <c r="N61" s="116"/>
      <c r="O61" s="360"/>
      <c r="P61" s="360"/>
      <c r="Q61" s="360"/>
      <c r="R61" s="360"/>
      <c r="S61" s="360"/>
      <c r="T61" s="360"/>
      <c r="U61" s="360"/>
      <c r="V61" s="360"/>
      <c r="W61" s="360"/>
      <c r="X61" s="360"/>
      <c r="Y61" s="360"/>
      <c r="Z61" s="360"/>
      <c r="AA61" s="95"/>
    </row>
    <row r="62" spans="2:27" ht="13.5" thickBot="1">
      <c r="B62" s="95"/>
      <c r="C62" s="123" t="s">
        <v>85</v>
      </c>
      <c r="D62" s="500" t="s">
        <v>86</v>
      </c>
      <c r="E62" s="124"/>
      <c r="F62" s="111"/>
      <c r="G62" s="113"/>
      <c r="H62" s="334"/>
      <c r="I62" s="113"/>
      <c r="J62" s="334"/>
      <c r="K62" s="113"/>
      <c r="L62" s="334"/>
      <c r="M62" s="349">
        <f>IF(SUM(G62:I62,K62)&gt;0,SUM(G62:I62,K62),0)</f>
        <v>0</v>
      </c>
      <c r="N62" s="116"/>
      <c r="O62" s="360"/>
      <c r="P62" s="360"/>
      <c r="Q62" s="360"/>
      <c r="R62" s="530"/>
      <c r="S62" s="360"/>
      <c r="T62" s="360"/>
      <c r="U62" s="360"/>
      <c r="V62" s="360"/>
      <c r="W62" s="360"/>
      <c r="X62" s="360"/>
      <c r="Y62" s="360"/>
      <c r="Z62" s="360"/>
      <c r="AA62" s="95"/>
    </row>
    <row r="63" spans="2:27" s="117" customFormat="1" ht="3.75" customHeight="1">
      <c r="B63" s="95"/>
      <c r="C63" s="123"/>
      <c r="D63" s="500"/>
      <c r="E63" s="124"/>
      <c r="F63" s="111"/>
      <c r="G63" s="334"/>
      <c r="H63" s="334"/>
      <c r="I63" s="334"/>
      <c r="J63" s="334"/>
      <c r="K63" s="334"/>
      <c r="L63" s="334"/>
      <c r="M63" s="335"/>
      <c r="N63" s="116"/>
      <c r="O63" s="350"/>
      <c r="P63" s="350"/>
      <c r="Q63" s="350"/>
      <c r="R63" s="360"/>
      <c r="S63" s="530"/>
      <c r="T63" s="360"/>
      <c r="U63" s="360"/>
      <c r="V63" s="360"/>
      <c r="W63" s="530"/>
      <c r="X63" s="360"/>
      <c r="Y63" s="360"/>
      <c r="Z63" s="360"/>
      <c r="AA63" s="95"/>
    </row>
    <row r="64" spans="2:27" ht="13.5" thickBot="1">
      <c r="B64" s="95"/>
      <c r="C64" s="123">
        <v>26</v>
      </c>
      <c r="D64" s="500" t="s">
        <v>467</v>
      </c>
      <c r="E64" s="124"/>
      <c r="F64" s="111"/>
      <c r="G64" s="113"/>
      <c r="H64" s="334"/>
      <c r="I64" s="113"/>
      <c r="J64" s="334"/>
      <c r="K64" s="113"/>
      <c r="L64" s="334"/>
      <c r="M64" s="349">
        <f>IF(SUM(G64:I64,K64)&gt;0,SUM(G64:I64,K64),0)</f>
        <v>0</v>
      </c>
      <c r="N64" s="116"/>
      <c r="O64" s="525"/>
      <c r="P64" s="526"/>
      <c r="Q64" s="526"/>
      <c r="R64" s="526"/>
      <c r="S64" s="526"/>
      <c r="T64" s="526"/>
      <c r="U64" s="526"/>
      <c r="V64" s="526"/>
      <c r="W64" s="526"/>
      <c r="X64" s="526"/>
      <c r="Y64" s="526"/>
      <c r="Z64" s="526"/>
      <c r="AA64" s="95"/>
    </row>
    <row r="65" spans="2:27" s="117" customFormat="1" ht="6" customHeight="1">
      <c r="B65" s="95"/>
      <c r="C65" s="123"/>
      <c r="D65" s="500"/>
      <c r="E65" s="124"/>
      <c r="F65" s="111"/>
      <c r="G65" s="334"/>
      <c r="H65" s="334"/>
      <c r="I65" s="334"/>
      <c r="J65" s="334"/>
      <c r="K65" s="334"/>
      <c r="L65" s="334"/>
      <c r="M65" s="335"/>
      <c r="N65" s="116"/>
      <c r="O65" s="350"/>
      <c r="P65" s="350"/>
      <c r="Q65" s="350"/>
      <c r="R65" s="350"/>
      <c r="S65" s="350"/>
      <c r="T65" s="350"/>
      <c r="U65" s="350"/>
      <c r="V65" s="350"/>
      <c r="W65" s="350"/>
      <c r="X65" s="350"/>
      <c r="Y65" s="350"/>
      <c r="Z65" s="350"/>
      <c r="AA65" s="95"/>
    </row>
    <row r="66" spans="2:27" ht="13.5" thickBot="1">
      <c r="B66" s="95"/>
      <c r="C66" s="123">
        <v>27</v>
      </c>
      <c r="D66" s="500" t="s">
        <v>468</v>
      </c>
      <c r="E66" s="124"/>
      <c r="F66" s="111"/>
      <c r="G66" s="113"/>
      <c r="H66" s="334"/>
      <c r="I66" s="113"/>
      <c r="J66" s="334"/>
      <c r="K66" s="113"/>
      <c r="L66" s="334"/>
      <c r="M66" s="349">
        <f>IF(SUM(G66:I66,K66)&gt;0,SUM(G66:I66,K66),0)</f>
        <v>0</v>
      </c>
      <c r="N66" s="116"/>
      <c r="O66" s="525"/>
      <c r="P66" s="526"/>
      <c r="Q66" s="526"/>
      <c r="R66" s="526"/>
      <c r="S66" s="526"/>
      <c r="T66" s="526"/>
      <c r="U66" s="526"/>
      <c r="V66" s="526"/>
      <c r="W66" s="526"/>
      <c r="X66" s="526"/>
      <c r="Y66" s="526"/>
      <c r="Z66" s="526"/>
      <c r="AA66" s="95"/>
    </row>
    <row r="67" spans="2:27" s="117" customFormat="1" ht="6" customHeight="1">
      <c r="B67" s="95"/>
      <c r="C67" s="123"/>
      <c r="D67" s="500"/>
      <c r="E67" s="124"/>
      <c r="F67" s="111"/>
      <c r="G67" s="334"/>
      <c r="H67" s="334"/>
      <c r="I67" s="334"/>
      <c r="J67" s="334"/>
      <c r="K67" s="334"/>
      <c r="L67" s="334"/>
      <c r="M67" s="335"/>
      <c r="N67" s="116"/>
      <c r="O67" s="350"/>
      <c r="P67" s="350"/>
      <c r="Q67" s="350"/>
      <c r="R67" s="350"/>
      <c r="S67" s="350"/>
      <c r="T67" s="350"/>
      <c r="U67" s="350"/>
      <c r="V67" s="350"/>
      <c r="W67" s="350"/>
      <c r="X67" s="350"/>
      <c r="Y67" s="350"/>
      <c r="Z67" s="350"/>
      <c r="AA67" s="95"/>
    </row>
    <row r="68" spans="2:27" ht="13.5" thickBot="1">
      <c r="B68" s="95"/>
      <c r="C68" s="123">
        <v>27</v>
      </c>
      <c r="D68" s="500" t="s">
        <v>461</v>
      </c>
      <c r="E68" s="124"/>
      <c r="F68" s="111"/>
      <c r="G68" s="113"/>
      <c r="H68" s="334"/>
      <c r="I68" s="113"/>
      <c r="J68" s="334"/>
      <c r="K68" s="113"/>
      <c r="L68" s="334"/>
      <c r="M68" s="349">
        <f>IF(SUM(G68:I68,K68)&gt;0,SUM(G68:I68,K68),0)</f>
        <v>0</v>
      </c>
      <c r="N68" s="116"/>
      <c r="O68" s="525"/>
      <c r="P68" s="526"/>
      <c r="Q68" s="526"/>
      <c r="R68" s="526"/>
      <c r="S68" s="526"/>
      <c r="T68" s="526"/>
      <c r="U68" s="526"/>
      <c r="V68" s="526"/>
      <c r="W68" s="526"/>
      <c r="X68" s="526"/>
      <c r="Y68" s="526"/>
      <c r="Z68" s="526"/>
      <c r="AA68" s="95"/>
    </row>
    <row r="69" spans="2:27" ht="13.5" thickBot="1">
      <c r="B69" s="95"/>
      <c r="C69" s="556" t="s">
        <v>176</v>
      </c>
      <c r="D69" s="556"/>
      <c r="E69" s="455"/>
      <c r="F69" s="461"/>
      <c r="G69" s="462"/>
      <c r="H69" s="463"/>
      <c r="I69" s="462">
        <f>SUM(I8:I66)</f>
        <v>0</v>
      </c>
      <c r="J69" s="463"/>
      <c r="K69" s="462">
        <f>SUM(K8:K66)</f>
        <v>0</v>
      </c>
      <c r="L69" s="463"/>
      <c r="M69" s="462">
        <f>SUM(M8:M66)</f>
        <v>0</v>
      </c>
      <c r="N69" s="117"/>
      <c r="O69" s="360"/>
      <c r="P69" s="526"/>
      <c r="Q69" s="526"/>
      <c r="R69" s="526"/>
      <c r="S69" s="526"/>
      <c r="T69" s="526"/>
      <c r="U69" s="526"/>
      <c r="V69" s="526"/>
      <c r="W69" s="526"/>
      <c r="X69" s="526"/>
      <c r="Y69" s="526"/>
      <c r="Z69" s="526"/>
      <c r="AA69" s="95"/>
    </row>
    <row r="70" spans="2:27" ht="12.75">
      <c r="B70" s="95"/>
      <c r="C70" s="95"/>
      <c r="D70" s="99"/>
      <c r="E70" s="99"/>
      <c r="F70" s="99"/>
      <c r="G70" s="99"/>
      <c r="H70" s="99"/>
      <c r="I70" s="99"/>
      <c r="J70" s="99"/>
      <c r="K70" s="99"/>
      <c r="L70" s="99"/>
      <c r="M70" s="350"/>
      <c r="N70" s="117"/>
      <c r="O70" s="360"/>
      <c r="P70" s="360"/>
      <c r="Q70" s="360"/>
      <c r="R70" s="360"/>
      <c r="S70" s="350"/>
      <c r="T70" s="360"/>
      <c r="U70" s="350"/>
      <c r="V70" s="360"/>
      <c r="W70" s="350"/>
      <c r="X70" s="360"/>
      <c r="Y70" s="360"/>
      <c r="Z70" s="360"/>
      <c r="AA70" s="95"/>
    </row>
    <row r="71" spans="4:23" ht="12.75">
      <c r="D71" s="76"/>
      <c r="G71" s="76"/>
      <c r="H71" s="116"/>
      <c r="I71" s="76"/>
      <c r="J71" s="116"/>
      <c r="K71" s="76"/>
      <c r="L71" s="116"/>
      <c r="M71" s="76"/>
      <c r="S71" s="116"/>
      <c r="U71" s="116"/>
      <c r="W71" s="116"/>
    </row>
    <row r="72" spans="4:23" ht="12.75">
      <c r="D72" s="76"/>
      <c r="G72" s="76"/>
      <c r="H72" s="116"/>
      <c r="I72" s="76"/>
      <c r="J72" s="116"/>
      <c r="K72" s="76"/>
      <c r="L72" s="116"/>
      <c r="M72" s="76"/>
      <c r="S72" s="116"/>
      <c r="U72" s="116"/>
      <c r="W72" s="116"/>
    </row>
    <row r="73" spans="4:23" ht="12.75">
      <c r="D73" s="76"/>
      <c r="G73" s="76"/>
      <c r="H73" s="116"/>
      <c r="I73" s="76"/>
      <c r="J73" s="116"/>
      <c r="K73" s="76"/>
      <c r="L73" s="116"/>
      <c r="M73" s="76"/>
      <c r="S73" s="116"/>
      <c r="U73" s="116"/>
      <c r="W73" s="116"/>
    </row>
    <row r="74" spans="4:23" ht="12.75">
      <c r="D74" s="76"/>
      <c r="G74" s="76"/>
      <c r="H74" s="116"/>
      <c r="I74" s="76"/>
      <c r="J74" s="116"/>
      <c r="K74" s="76"/>
      <c r="L74" s="116"/>
      <c r="M74" s="76"/>
      <c r="S74" s="116"/>
      <c r="U74" s="116"/>
      <c r="W74" s="116"/>
    </row>
    <row r="75" spans="4:23" ht="12.75">
      <c r="D75" s="76"/>
      <c r="G75" s="76"/>
      <c r="H75" s="116"/>
      <c r="I75" s="76"/>
      <c r="J75" s="116"/>
      <c r="K75" s="76"/>
      <c r="L75" s="116"/>
      <c r="M75" s="76"/>
      <c r="S75" s="116"/>
      <c r="U75" s="116"/>
      <c r="W75" s="116"/>
    </row>
    <row r="76" spans="4:23" ht="12.75">
      <c r="D76" s="76"/>
      <c r="G76" s="76"/>
      <c r="H76" s="116"/>
      <c r="I76" s="76"/>
      <c r="J76" s="116"/>
      <c r="K76" s="76"/>
      <c r="L76" s="116"/>
      <c r="M76" s="76"/>
      <c r="S76" s="116"/>
      <c r="U76" s="116"/>
      <c r="W76" s="116"/>
    </row>
    <row r="77" spans="4:23" ht="12.75">
      <c r="D77" s="76"/>
      <c r="G77" s="76"/>
      <c r="H77" s="116"/>
      <c r="I77" s="76"/>
      <c r="J77" s="116"/>
      <c r="K77" s="76"/>
      <c r="L77" s="116"/>
      <c r="M77" s="76"/>
      <c r="S77" s="116"/>
      <c r="U77" s="116"/>
      <c r="W77" s="116"/>
    </row>
    <row r="78" spans="4:23" ht="12.75">
      <c r="D78" s="76"/>
      <c r="G78" s="76"/>
      <c r="H78" s="116"/>
      <c r="I78" s="76"/>
      <c r="J78" s="116"/>
      <c r="K78" s="76"/>
      <c r="L78" s="116"/>
      <c r="M78" s="76"/>
      <c r="S78" s="116"/>
      <c r="U78" s="116"/>
      <c r="W78" s="116"/>
    </row>
    <row r="79" spans="4:23" ht="12.75">
      <c r="D79" s="76"/>
      <c r="G79" s="76"/>
      <c r="H79" s="116"/>
      <c r="I79" s="76"/>
      <c r="J79" s="116"/>
      <c r="K79" s="76"/>
      <c r="L79" s="116"/>
      <c r="M79" s="76"/>
      <c r="S79" s="116"/>
      <c r="U79" s="116"/>
      <c r="W79" s="116"/>
    </row>
    <row r="80" spans="4:23" ht="12.75">
      <c r="D80" s="76"/>
      <c r="G80" s="76"/>
      <c r="H80" s="116"/>
      <c r="I80" s="76"/>
      <c r="J80" s="116"/>
      <c r="K80" s="76"/>
      <c r="L80" s="116"/>
      <c r="M80" s="76"/>
      <c r="S80" s="116"/>
      <c r="U80" s="116"/>
      <c r="W80" s="116"/>
    </row>
    <row r="81" spans="4:23" ht="12.75">
      <c r="D81" s="76"/>
      <c r="G81" s="76"/>
      <c r="H81" s="116"/>
      <c r="I81" s="76"/>
      <c r="J81" s="116"/>
      <c r="K81" s="76"/>
      <c r="L81" s="116"/>
      <c r="M81" s="76"/>
      <c r="S81" s="116"/>
      <c r="U81" s="116"/>
      <c r="W81" s="116"/>
    </row>
    <row r="82" spans="4:23" ht="12.75">
      <c r="D82" s="76"/>
      <c r="G82" s="76"/>
      <c r="H82" s="116"/>
      <c r="I82" s="76"/>
      <c r="J82" s="116"/>
      <c r="K82" s="76"/>
      <c r="L82" s="116"/>
      <c r="M82" s="76"/>
      <c r="S82" s="116"/>
      <c r="U82" s="116"/>
      <c r="W82" s="116"/>
    </row>
    <row r="83" spans="4:23" ht="12.75">
      <c r="D83" s="76"/>
      <c r="G83" s="76"/>
      <c r="H83" s="116"/>
      <c r="I83" s="76"/>
      <c r="J83" s="116"/>
      <c r="K83" s="76"/>
      <c r="L83" s="116"/>
      <c r="M83" s="76"/>
      <c r="S83" s="116"/>
      <c r="U83" s="116"/>
      <c r="W83" s="116"/>
    </row>
    <row r="84" spans="4:23" ht="12.75">
      <c r="D84" s="76"/>
      <c r="G84" s="76"/>
      <c r="H84" s="116"/>
      <c r="I84" s="76"/>
      <c r="J84" s="116"/>
      <c r="K84" s="76"/>
      <c r="L84" s="116"/>
      <c r="M84" s="76"/>
      <c r="S84" s="116"/>
      <c r="U84" s="116"/>
      <c r="W84" s="116"/>
    </row>
    <row r="85" spans="4:23" ht="12.75">
      <c r="D85" s="76"/>
      <c r="G85" s="76"/>
      <c r="H85" s="116"/>
      <c r="I85" s="76"/>
      <c r="J85" s="116"/>
      <c r="K85" s="76"/>
      <c r="L85" s="116"/>
      <c r="M85" s="76"/>
      <c r="S85" s="116"/>
      <c r="U85" s="116"/>
      <c r="W85" s="116"/>
    </row>
    <row r="86" spans="4:23" ht="12.75">
      <c r="D86" s="76"/>
      <c r="G86" s="76"/>
      <c r="H86" s="116"/>
      <c r="I86" s="76"/>
      <c r="J86" s="116"/>
      <c r="K86" s="76"/>
      <c r="L86" s="116"/>
      <c r="M86" s="76"/>
      <c r="S86" s="116"/>
      <c r="U86" s="116"/>
      <c r="W86" s="116"/>
    </row>
    <row r="87" spans="4:23" ht="12.75">
      <c r="D87" s="76"/>
      <c r="G87" s="76"/>
      <c r="H87" s="116"/>
      <c r="I87" s="76"/>
      <c r="J87" s="116"/>
      <c r="K87" s="76"/>
      <c r="L87" s="116"/>
      <c r="M87" s="76"/>
      <c r="S87" s="116"/>
      <c r="U87" s="116"/>
      <c r="W87" s="116"/>
    </row>
    <row r="88" spans="4:23" ht="12.75">
      <c r="D88" s="76"/>
      <c r="G88" s="76"/>
      <c r="H88" s="116"/>
      <c r="I88" s="76"/>
      <c r="J88" s="116"/>
      <c r="K88" s="76"/>
      <c r="L88" s="116"/>
      <c r="M88" s="76"/>
      <c r="S88" s="116"/>
      <c r="U88" s="116"/>
      <c r="W88" s="116"/>
    </row>
    <row r="89" spans="4:23" ht="12.75">
      <c r="D89" s="76"/>
      <c r="G89" s="76"/>
      <c r="H89" s="116"/>
      <c r="I89" s="76"/>
      <c r="J89" s="116"/>
      <c r="K89" s="76"/>
      <c r="L89" s="116"/>
      <c r="M89" s="76"/>
      <c r="S89" s="116"/>
      <c r="U89" s="116"/>
      <c r="W89" s="116"/>
    </row>
    <row r="90" spans="4:23" ht="12.75">
      <c r="D90" s="76"/>
      <c r="G90" s="76"/>
      <c r="H90" s="116"/>
      <c r="I90" s="76"/>
      <c r="J90" s="116"/>
      <c r="K90" s="76"/>
      <c r="L90" s="116"/>
      <c r="M90" s="76"/>
      <c r="S90" s="116"/>
      <c r="U90" s="116"/>
      <c r="W90" s="116"/>
    </row>
    <row r="91" spans="4:23" ht="12.75">
      <c r="D91" s="76"/>
      <c r="G91" s="76"/>
      <c r="H91" s="116"/>
      <c r="I91" s="76"/>
      <c r="J91" s="116"/>
      <c r="K91" s="76"/>
      <c r="L91" s="116"/>
      <c r="M91" s="76"/>
      <c r="S91" s="116"/>
      <c r="U91" s="116"/>
      <c r="W91" s="116"/>
    </row>
    <row r="92" spans="4:23" ht="12.75">
      <c r="D92" s="76"/>
      <c r="G92" s="76"/>
      <c r="H92" s="116"/>
      <c r="I92" s="76"/>
      <c r="J92" s="116"/>
      <c r="K92" s="76"/>
      <c r="L92" s="116"/>
      <c r="M92" s="76"/>
      <c r="S92" s="116"/>
      <c r="U92" s="116"/>
      <c r="W92" s="116"/>
    </row>
    <row r="93" spans="4:23" ht="12.75">
      <c r="D93" s="76"/>
      <c r="G93" s="76"/>
      <c r="H93" s="116"/>
      <c r="I93" s="76"/>
      <c r="J93" s="116"/>
      <c r="K93" s="76"/>
      <c r="L93" s="116"/>
      <c r="M93" s="76"/>
      <c r="S93" s="116"/>
      <c r="U93" s="116"/>
      <c r="W93" s="116"/>
    </row>
    <row r="94" spans="4:23" ht="12.75">
      <c r="D94" s="76"/>
      <c r="G94" s="76"/>
      <c r="H94" s="116"/>
      <c r="I94" s="76"/>
      <c r="J94" s="116"/>
      <c r="K94" s="76"/>
      <c r="L94" s="116"/>
      <c r="M94" s="76"/>
      <c r="S94" s="116"/>
      <c r="U94" s="116"/>
      <c r="W94" s="116"/>
    </row>
    <row r="95" spans="4:23" ht="12.75">
      <c r="D95" s="76"/>
      <c r="G95" s="76"/>
      <c r="H95" s="116"/>
      <c r="I95" s="76"/>
      <c r="J95" s="116"/>
      <c r="K95" s="76"/>
      <c r="L95" s="116"/>
      <c r="M95" s="76"/>
      <c r="S95" s="116"/>
      <c r="U95" s="116"/>
      <c r="W95" s="116"/>
    </row>
    <row r="96" spans="4:23" ht="12.75">
      <c r="D96" s="76"/>
      <c r="G96" s="76"/>
      <c r="H96" s="116"/>
      <c r="I96" s="76"/>
      <c r="J96" s="116"/>
      <c r="K96" s="76"/>
      <c r="L96" s="116"/>
      <c r="M96" s="76"/>
      <c r="S96" s="116"/>
      <c r="U96" s="116"/>
      <c r="W96" s="116"/>
    </row>
    <row r="97" spans="4:23" ht="12.75">
      <c r="D97" s="76"/>
      <c r="G97" s="76"/>
      <c r="H97" s="116"/>
      <c r="I97" s="76"/>
      <c r="J97" s="116"/>
      <c r="K97" s="76"/>
      <c r="L97" s="116"/>
      <c r="M97" s="76"/>
      <c r="S97" s="116"/>
      <c r="U97" s="116"/>
      <c r="W97" s="116"/>
    </row>
    <row r="98" spans="4:23" ht="12.75">
      <c r="D98" s="76"/>
      <c r="G98" s="76"/>
      <c r="H98" s="116"/>
      <c r="I98" s="76"/>
      <c r="J98" s="116"/>
      <c r="K98" s="76"/>
      <c r="L98" s="116"/>
      <c r="M98" s="76"/>
      <c r="S98" s="116"/>
      <c r="U98" s="116"/>
      <c r="W98" s="116"/>
    </row>
  </sheetData>
  <sheetProtection sheet="1" objects="1" scenarios="1" selectLockedCells="1"/>
  <mergeCells count="11">
    <mergeCell ref="G3:T3"/>
    <mergeCell ref="R5:Z5"/>
    <mergeCell ref="G5:M5"/>
    <mergeCell ref="R6:T7"/>
    <mergeCell ref="V6:X7"/>
    <mergeCell ref="AE6:AF6"/>
    <mergeCell ref="C69:D69"/>
    <mergeCell ref="Z6:Z8"/>
    <mergeCell ref="C5:E5"/>
    <mergeCell ref="D6:E6"/>
    <mergeCell ref="O5:P7"/>
  </mergeCells>
  <printOptions/>
  <pageMargins left="0.75" right="0.75" top="1" bottom="1" header="0.5" footer="0.5"/>
  <pageSetup fitToHeight="1" fitToWidth="1" horizontalDpi="600" verticalDpi="600" orientation="landscape" paperSize="9" scale="66" r:id="rId4"/>
  <drawing r:id="rId3"/>
  <legacyDrawing r:id="rId2"/>
  <oleObjects>
    <oleObject progId="Word.Picture.8" shapeId="2143136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CN48"/>
  <sheetViews>
    <sheetView showGridLines="0" zoomScale="97" zoomScaleNormal="97" zoomScalePageLayoutView="0" workbookViewId="0" topLeftCell="A4">
      <selection activeCell="AW12" sqref="AW12:AY12"/>
    </sheetView>
  </sheetViews>
  <sheetFormatPr defaultColWidth="3.00390625" defaultRowHeight="12.75"/>
  <cols>
    <col min="1" max="2" width="3.00390625" style="219" customWidth="1"/>
    <col min="3" max="3" width="4.140625" style="219" customWidth="1"/>
    <col min="4" max="4" width="1.7109375" style="219" customWidth="1"/>
    <col min="5" max="5" width="4.28125" style="219" customWidth="1"/>
    <col min="6" max="9" width="3.00390625" style="219" customWidth="1"/>
    <col min="10" max="10" width="1.1484375" style="219" customWidth="1"/>
    <col min="11" max="14" width="3.00390625" style="219" customWidth="1"/>
    <col min="15" max="15" width="1.28515625" style="219" customWidth="1"/>
    <col min="16" max="19" width="3.00390625" style="219" customWidth="1"/>
    <col min="20" max="20" width="1.1484375" style="219" customWidth="1"/>
    <col min="21" max="24" width="3.00390625" style="219" customWidth="1"/>
    <col min="25" max="25" width="0.9921875" style="219" customWidth="1"/>
    <col min="26" max="36" width="3.00390625" style="219" customWidth="1"/>
    <col min="37" max="43" width="3.421875" style="219" customWidth="1"/>
    <col min="44" max="46" width="3.00390625" style="219" customWidth="1"/>
    <col min="47" max="47" width="2.421875" style="219" customWidth="1"/>
    <col min="48" max="48" width="1.28515625" style="219" customWidth="1"/>
    <col min="49" max="51" width="3.00390625" style="219" customWidth="1"/>
    <col min="52" max="52" width="1.28515625" style="219" customWidth="1"/>
    <col min="53" max="55" width="3.00390625" style="219" customWidth="1"/>
    <col min="56" max="56" width="1.28515625" style="219" customWidth="1"/>
    <col min="57" max="59" width="3.00390625" style="219" customWidth="1"/>
    <col min="60" max="60" width="0.85546875" style="219" customWidth="1"/>
    <col min="61" max="61" width="6.140625" style="219" customWidth="1"/>
    <col min="62" max="62" width="1.8515625" style="0" customWidth="1"/>
    <col min="63" max="63" width="13.421875" style="0" customWidth="1"/>
    <col min="64" max="65" width="3.00390625" style="219" customWidth="1"/>
    <col min="66" max="66" width="12.00390625" style="219" customWidth="1"/>
    <col min="67" max="67" width="0.9921875" style="219" customWidth="1"/>
    <col min="68" max="68" width="9.00390625" style="219" customWidth="1"/>
    <col min="69" max="69" width="0.9921875" style="219" customWidth="1"/>
    <col min="70" max="70" width="9.7109375" style="219" customWidth="1"/>
    <col min="71" max="92" width="3.00390625" style="219" customWidth="1"/>
  </cols>
  <sheetData>
    <row r="1" spans="1:92" s="338" customFormat="1" ht="31.5" customHeight="1">
      <c r="A1" s="252"/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366" t="s">
        <v>251</v>
      </c>
      <c r="P1" s="367"/>
      <c r="Q1" s="367"/>
      <c r="R1" s="252"/>
      <c r="S1" s="252"/>
      <c r="T1" s="252"/>
      <c r="U1" s="252"/>
      <c r="V1" s="252"/>
      <c r="W1" s="252"/>
      <c r="X1" s="252"/>
      <c r="Y1" s="252"/>
      <c r="Z1" s="252"/>
      <c r="AA1" s="252"/>
      <c r="AB1" s="252"/>
      <c r="AC1" s="252"/>
      <c r="AD1" s="252"/>
      <c r="AE1" s="252"/>
      <c r="AF1" s="252"/>
      <c r="AG1" s="252"/>
      <c r="AH1" s="252"/>
      <c r="AI1" s="252"/>
      <c r="AJ1" s="252"/>
      <c r="AK1" s="252"/>
      <c r="AL1" s="252"/>
      <c r="AM1" s="252"/>
      <c r="AN1" s="252"/>
      <c r="AO1" s="252"/>
      <c r="AP1" s="252"/>
      <c r="AQ1" s="252"/>
      <c r="AR1" s="252"/>
      <c r="AS1" s="252"/>
      <c r="AT1" s="252"/>
      <c r="AU1" s="252"/>
      <c r="AV1" s="252"/>
      <c r="AW1" s="252"/>
      <c r="AX1" s="252"/>
      <c r="AY1" s="252"/>
      <c r="AZ1" s="252"/>
      <c r="BA1" s="368"/>
      <c r="BB1" s="368"/>
      <c r="BC1" s="368"/>
      <c r="BD1" s="368"/>
      <c r="BE1" s="368"/>
      <c r="BF1" s="369"/>
      <c r="BG1" s="369"/>
      <c r="BH1" s="369"/>
      <c r="BI1" s="369"/>
      <c r="BJ1" s="370" t="s">
        <v>426</v>
      </c>
      <c r="BK1" s="371"/>
      <c r="BL1" s="372"/>
      <c r="BM1" s="368"/>
      <c r="BN1" s="368"/>
      <c r="BO1" s="368"/>
      <c r="BP1" s="368"/>
      <c r="BQ1" s="368"/>
      <c r="BR1" s="368"/>
      <c r="BS1" s="368"/>
      <c r="BT1" s="368"/>
      <c r="BU1" s="368"/>
      <c r="BV1" s="368"/>
      <c r="BW1" s="368"/>
      <c r="BX1" s="368"/>
      <c r="BY1" s="368"/>
      <c r="BZ1" s="368"/>
      <c r="CA1" s="368"/>
      <c r="CB1" s="368"/>
      <c r="CC1" s="368"/>
      <c r="CD1" s="368"/>
      <c r="CE1" s="368"/>
      <c r="CF1" s="252"/>
      <c r="CG1" s="252"/>
      <c r="CH1" s="252"/>
      <c r="CI1" s="252"/>
      <c r="CJ1" s="252"/>
      <c r="CK1" s="252"/>
      <c r="CL1" s="252"/>
      <c r="CM1" s="252"/>
      <c r="CN1" s="252"/>
    </row>
    <row r="2" spans="1:92" s="338" customFormat="1" ht="7.5" customHeight="1">
      <c r="A2" s="252"/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373"/>
      <c r="N2" s="373"/>
      <c r="O2" s="373"/>
      <c r="P2" s="373"/>
      <c r="Q2" s="373"/>
      <c r="R2" s="252"/>
      <c r="S2" s="252"/>
      <c r="T2" s="252"/>
      <c r="U2" s="252"/>
      <c r="V2" s="252"/>
      <c r="W2" s="252"/>
      <c r="X2" s="252"/>
      <c r="Y2" s="252"/>
      <c r="Z2" s="252"/>
      <c r="AA2" s="252"/>
      <c r="AB2" s="252"/>
      <c r="AC2" s="252"/>
      <c r="AD2" s="252"/>
      <c r="AE2" s="252"/>
      <c r="AF2" s="252"/>
      <c r="AG2" s="252"/>
      <c r="AH2" s="252"/>
      <c r="AI2" s="252"/>
      <c r="AJ2" s="252"/>
      <c r="AK2" s="252"/>
      <c r="AL2" s="252"/>
      <c r="AM2" s="252"/>
      <c r="AN2" s="252"/>
      <c r="AO2" s="252"/>
      <c r="AP2" s="252"/>
      <c r="AQ2" s="252"/>
      <c r="AR2" s="252"/>
      <c r="AS2" s="252"/>
      <c r="AT2" s="252"/>
      <c r="AU2" s="252"/>
      <c r="AV2" s="252"/>
      <c r="AW2" s="252"/>
      <c r="AX2" s="252"/>
      <c r="AY2" s="252"/>
      <c r="AZ2" s="368"/>
      <c r="BA2" s="368"/>
      <c r="BB2" s="368"/>
      <c r="BC2" s="368"/>
      <c r="BD2" s="368"/>
      <c r="BE2" s="368"/>
      <c r="BF2" s="369"/>
      <c r="BG2" s="369"/>
      <c r="BH2" s="374"/>
      <c r="BI2" s="374"/>
      <c r="BJ2" s="370" t="s">
        <v>427</v>
      </c>
      <c r="BK2" s="371"/>
      <c r="BL2" s="252"/>
      <c r="BM2" s="368"/>
      <c r="BN2" s="368"/>
      <c r="BO2" s="368"/>
      <c r="BP2" s="368"/>
      <c r="BQ2" s="368"/>
      <c r="BR2" s="368"/>
      <c r="BS2" s="368"/>
      <c r="BT2" s="368"/>
      <c r="BU2" s="368"/>
      <c r="BV2" s="368"/>
      <c r="BW2" s="368"/>
      <c r="BX2" s="368"/>
      <c r="BY2" s="368"/>
      <c r="BZ2" s="368"/>
      <c r="CA2" s="368"/>
      <c r="CB2" s="368"/>
      <c r="CC2" s="368"/>
      <c r="CD2" s="368"/>
      <c r="CE2" s="368"/>
      <c r="CF2" s="252"/>
      <c r="CG2" s="252"/>
      <c r="CH2" s="252"/>
      <c r="CI2" s="252"/>
      <c r="CJ2" s="252"/>
      <c r="CK2" s="252"/>
      <c r="CL2" s="252"/>
      <c r="CM2" s="252"/>
      <c r="CN2" s="252"/>
    </row>
    <row r="3" spans="1:92" s="338" customFormat="1" ht="24.75" customHeight="1">
      <c r="A3" s="252"/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375" t="s">
        <v>275</v>
      </c>
      <c r="T3" s="375"/>
      <c r="U3" s="227" t="str">
        <f>Anagrafica!AF7&amp;" - "&amp;Anagrafica!AF13&amp;" - Anno "&amp;Anagrafica!W33</f>
        <v> -  - Anno </v>
      </c>
      <c r="V3" s="252"/>
      <c r="W3" s="252"/>
      <c r="X3" s="252"/>
      <c r="Y3" s="252"/>
      <c r="Z3" s="252"/>
      <c r="AA3" s="252"/>
      <c r="AB3" s="252"/>
      <c r="AC3" s="252"/>
      <c r="AD3" s="252"/>
      <c r="AE3" s="252"/>
      <c r="AF3" s="252"/>
      <c r="AG3" s="252"/>
      <c r="AH3" s="252"/>
      <c r="AI3" s="252"/>
      <c r="AJ3" s="252"/>
      <c r="AK3" s="252"/>
      <c r="AL3" s="252"/>
      <c r="AM3" s="252"/>
      <c r="AN3" s="252"/>
      <c r="AO3" s="252"/>
      <c r="AP3" s="252"/>
      <c r="AQ3" s="376"/>
      <c r="AR3" s="252"/>
      <c r="AS3" s="252"/>
      <c r="AT3" s="252"/>
      <c r="AU3" s="252"/>
      <c r="AV3" s="252"/>
      <c r="AW3" s="252"/>
      <c r="AX3" s="252"/>
      <c r="AY3" s="368"/>
      <c r="AZ3" s="368"/>
      <c r="BA3" s="368"/>
      <c r="BB3" s="368"/>
      <c r="BC3" s="368"/>
      <c r="BD3" s="368"/>
      <c r="BE3" s="368"/>
      <c r="BF3" s="369"/>
      <c r="BG3" s="369"/>
      <c r="BH3" s="374"/>
      <c r="BI3" s="374"/>
      <c r="BJ3" s="370"/>
      <c r="BK3" s="371"/>
      <c r="BL3" s="252"/>
      <c r="BM3" s="368"/>
      <c r="BN3" s="368"/>
      <c r="BO3" s="368"/>
      <c r="BP3" s="368"/>
      <c r="BQ3" s="368"/>
      <c r="BR3" s="368"/>
      <c r="BS3" s="368"/>
      <c r="BT3" s="368"/>
      <c r="BU3" s="368"/>
      <c r="BV3" s="368"/>
      <c r="BW3" s="368"/>
      <c r="BX3" s="368"/>
      <c r="BY3" s="368"/>
      <c r="BZ3" s="368"/>
      <c r="CA3" s="368"/>
      <c r="CB3" s="368"/>
      <c r="CC3" s="368"/>
      <c r="CD3" s="368"/>
      <c r="CE3" s="368"/>
      <c r="CF3" s="252"/>
      <c r="CG3" s="252"/>
      <c r="CH3" s="252"/>
      <c r="CI3" s="252"/>
      <c r="CJ3" s="252"/>
      <c r="CK3" s="252"/>
      <c r="CL3" s="252"/>
      <c r="CM3" s="252"/>
      <c r="CN3" s="252"/>
    </row>
    <row r="4" spans="1:92" s="56" customFormat="1" ht="10.5" customHeight="1">
      <c r="A4" s="360"/>
      <c r="B4" s="360"/>
      <c r="C4" s="360"/>
      <c r="D4" s="360"/>
      <c r="E4" s="360"/>
      <c r="F4" s="360"/>
      <c r="G4" s="360"/>
      <c r="H4" s="360"/>
      <c r="I4" s="360"/>
      <c r="J4" s="360"/>
      <c r="K4" s="360"/>
      <c r="L4" s="360"/>
      <c r="M4" s="360"/>
      <c r="N4" s="360"/>
      <c r="O4" s="360"/>
      <c r="P4" s="360"/>
      <c r="Q4" s="360"/>
      <c r="R4" s="360"/>
      <c r="S4" s="360"/>
      <c r="T4" s="360"/>
      <c r="U4" s="360"/>
      <c r="V4" s="360"/>
      <c r="W4" s="360"/>
      <c r="X4" s="360"/>
      <c r="Y4" s="360"/>
      <c r="Z4" s="360"/>
      <c r="AA4" s="360"/>
      <c r="AB4" s="360"/>
      <c r="AC4" s="360"/>
      <c r="AD4" s="360"/>
      <c r="AE4" s="252"/>
      <c r="AF4" s="377"/>
      <c r="AG4" s="377"/>
      <c r="AH4" s="377"/>
      <c r="AI4" s="377"/>
      <c r="AJ4" s="377"/>
      <c r="AK4" s="377"/>
      <c r="AL4" s="377"/>
      <c r="AM4" s="377"/>
      <c r="AN4" s="377"/>
      <c r="AO4" s="377"/>
      <c r="AP4" s="377"/>
      <c r="AQ4" s="377"/>
      <c r="AR4" s="377"/>
      <c r="AS4" s="377"/>
      <c r="AT4" s="377"/>
      <c r="AU4" s="377"/>
      <c r="AV4" s="377"/>
      <c r="AW4" s="377"/>
      <c r="AX4" s="377"/>
      <c r="AY4" s="378"/>
      <c r="AZ4" s="377"/>
      <c r="BA4" s="378"/>
      <c r="BB4" s="378"/>
      <c r="BC4" s="378"/>
      <c r="BD4" s="378"/>
      <c r="BE4" s="378"/>
      <c r="BF4" s="377"/>
      <c r="BG4" s="377"/>
      <c r="BH4" s="377"/>
      <c r="BI4" s="377"/>
      <c r="BJ4" s="377"/>
      <c r="BL4" s="252"/>
      <c r="BM4" s="252"/>
      <c r="BN4" s="252"/>
      <c r="BO4" s="252"/>
      <c r="BP4" s="252"/>
      <c r="BQ4" s="252"/>
      <c r="BR4" s="252"/>
      <c r="BS4" s="252"/>
      <c r="BT4" s="252"/>
      <c r="BU4" s="252"/>
      <c r="BV4" s="252"/>
      <c r="BW4" s="252"/>
      <c r="BX4" s="252"/>
      <c r="BY4" s="252"/>
      <c r="BZ4" s="252"/>
      <c r="CA4" s="252"/>
      <c r="CB4" s="252"/>
      <c r="CC4" s="252"/>
      <c r="CD4" s="252"/>
      <c r="CE4" s="252"/>
      <c r="CF4" s="252"/>
      <c r="CG4" s="252"/>
      <c r="CH4" s="252"/>
      <c r="CI4" s="252"/>
      <c r="CJ4" s="252"/>
      <c r="CK4" s="252"/>
      <c r="CL4" s="252"/>
      <c r="CM4" s="252"/>
      <c r="CN4" s="252"/>
    </row>
    <row r="5" spans="1:92" s="56" customFormat="1" ht="12.75">
      <c r="A5" s="360"/>
      <c r="B5" s="620" t="s">
        <v>246</v>
      </c>
      <c r="C5" s="621"/>
      <c r="D5" s="621"/>
      <c r="E5" s="621"/>
      <c r="F5" s="621"/>
      <c r="G5" s="621"/>
      <c r="H5" s="621"/>
      <c r="I5" s="621"/>
      <c r="J5" s="621"/>
      <c r="K5" s="621"/>
      <c r="L5" s="621"/>
      <c r="M5" s="621"/>
      <c r="N5" s="621"/>
      <c r="O5" s="621"/>
      <c r="P5" s="621"/>
      <c r="Q5" s="622"/>
      <c r="R5" s="379"/>
      <c r="S5" s="360"/>
      <c r="T5" s="360"/>
      <c r="U5" s="360"/>
      <c r="V5" s="360"/>
      <c r="W5" s="360"/>
      <c r="X5" s="360"/>
      <c r="Y5" s="360"/>
      <c r="Z5" s="360"/>
      <c r="AA5" s="360"/>
      <c r="AB5" s="360"/>
      <c r="AC5" s="360"/>
      <c r="AD5" s="360"/>
      <c r="AE5" s="252"/>
      <c r="AF5" s="377"/>
      <c r="AG5" s="605" t="s">
        <v>412</v>
      </c>
      <c r="AH5" s="606"/>
      <c r="AI5" s="606"/>
      <c r="AJ5" s="606"/>
      <c r="AK5" s="606"/>
      <c r="AL5" s="606"/>
      <c r="AM5" s="606"/>
      <c r="AN5" s="606"/>
      <c r="AO5" s="606"/>
      <c r="AP5" s="606"/>
      <c r="AQ5" s="606"/>
      <c r="AR5" s="606"/>
      <c r="AS5" s="606"/>
      <c r="AT5" s="606"/>
      <c r="AU5" s="606"/>
      <c r="AV5" s="606"/>
      <c r="AW5" s="606"/>
      <c r="AX5" s="606"/>
      <c r="AY5" s="607"/>
      <c r="AZ5" s="377"/>
      <c r="BA5" s="377"/>
      <c r="BB5" s="377"/>
      <c r="BC5" s="377"/>
      <c r="BD5" s="377"/>
      <c r="BE5" s="377"/>
      <c r="BF5" s="377"/>
      <c r="BG5" s="377"/>
      <c r="BH5" s="377"/>
      <c r="BI5" s="377"/>
      <c r="BJ5" s="377"/>
      <c r="BL5" s="252"/>
      <c r="BM5" s="252"/>
      <c r="BN5" s="252"/>
      <c r="BO5" s="252"/>
      <c r="BP5" s="252"/>
      <c r="BQ5" s="252"/>
      <c r="BR5" s="252"/>
      <c r="BS5" s="252"/>
      <c r="BT5" s="252"/>
      <c r="BU5" s="252"/>
      <c r="BV5" s="252"/>
      <c r="BW5" s="252"/>
      <c r="BX5" s="252"/>
      <c r="BY5" s="252"/>
      <c r="BZ5" s="252"/>
      <c r="CA5" s="252"/>
      <c r="CB5" s="252"/>
      <c r="CC5" s="252"/>
      <c r="CD5" s="252"/>
      <c r="CE5" s="252"/>
      <c r="CF5" s="252"/>
      <c r="CG5" s="252"/>
      <c r="CH5" s="252"/>
      <c r="CI5" s="252"/>
      <c r="CJ5" s="252"/>
      <c r="CK5" s="252"/>
      <c r="CL5" s="252"/>
      <c r="CM5" s="252"/>
      <c r="CN5" s="252"/>
    </row>
    <row r="6" spans="1:92" s="56" customFormat="1" ht="5.25" customHeight="1">
      <c r="A6" s="360"/>
      <c r="B6" s="380"/>
      <c r="C6" s="380"/>
      <c r="D6" s="380"/>
      <c r="E6" s="380"/>
      <c r="F6" s="380"/>
      <c r="G6" s="380"/>
      <c r="H6" s="380"/>
      <c r="I6" s="380"/>
      <c r="J6" s="380"/>
      <c r="K6" s="380"/>
      <c r="L6" s="380"/>
      <c r="M6" s="380"/>
      <c r="N6" s="380"/>
      <c r="O6" s="380"/>
      <c r="P6" s="380"/>
      <c r="Q6" s="380"/>
      <c r="R6" s="380"/>
      <c r="S6" s="360"/>
      <c r="T6" s="360"/>
      <c r="U6" s="360"/>
      <c r="V6" s="360"/>
      <c r="W6" s="360"/>
      <c r="X6" s="360"/>
      <c r="Y6" s="360"/>
      <c r="Z6" s="360"/>
      <c r="AA6" s="360"/>
      <c r="AB6" s="360"/>
      <c r="AC6" s="360"/>
      <c r="AD6" s="360"/>
      <c r="AE6" s="252"/>
      <c r="AF6" s="377"/>
      <c r="AG6" s="377"/>
      <c r="AH6" s="377"/>
      <c r="AI6" s="377"/>
      <c r="AJ6" s="377"/>
      <c r="AK6" s="377"/>
      <c r="AL6" s="377"/>
      <c r="AM6" s="377"/>
      <c r="AN6" s="377"/>
      <c r="AO6" s="377"/>
      <c r="AP6" s="377"/>
      <c r="AQ6" s="377"/>
      <c r="AR6" s="377"/>
      <c r="AS6" s="377"/>
      <c r="AT6" s="377"/>
      <c r="AU6" s="377"/>
      <c r="AV6" s="381"/>
      <c r="AW6" s="377"/>
      <c r="AX6" s="377"/>
      <c r="AY6" s="377"/>
      <c r="AZ6" s="377"/>
      <c r="BA6" s="377"/>
      <c r="BB6" s="377"/>
      <c r="BC6" s="377"/>
      <c r="BD6" s="377"/>
      <c r="BE6" s="377"/>
      <c r="BF6" s="377"/>
      <c r="BG6" s="377"/>
      <c r="BH6" s="377"/>
      <c r="BI6" s="377"/>
      <c r="BJ6" s="377"/>
      <c r="BL6" s="252"/>
      <c r="BM6" s="252"/>
      <c r="BN6" s="252"/>
      <c r="BO6" s="252"/>
      <c r="BP6" s="252"/>
      <c r="BQ6" s="252"/>
      <c r="BR6" s="252"/>
      <c r="BS6" s="252"/>
      <c r="BT6" s="252"/>
      <c r="BU6" s="252"/>
      <c r="BV6" s="252"/>
      <c r="BW6" s="252"/>
      <c r="BX6" s="252"/>
      <c r="BY6" s="252"/>
      <c r="BZ6" s="252"/>
      <c r="CA6" s="252"/>
      <c r="CB6" s="252"/>
      <c r="CC6" s="252"/>
      <c r="CD6" s="252"/>
      <c r="CE6" s="252"/>
      <c r="CF6" s="252"/>
      <c r="CG6" s="252"/>
      <c r="CH6" s="252"/>
      <c r="CI6" s="252"/>
      <c r="CJ6" s="252"/>
      <c r="CK6" s="252"/>
      <c r="CL6" s="252"/>
      <c r="CM6" s="252"/>
      <c r="CN6" s="252"/>
    </row>
    <row r="7" spans="1:92" s="56" customFormat="1" ht="12.75" customHeight="1">
      <c r="A7" s="360"/>
      <c r="B7" s="612" t="s">
        <v>220</v>
      </c>
      <c r="C7" s="613"/>
      <c r="D7" s="613"/>
      <c r="E7" s="613"/>
      <c r="F7" s="613"/>
      <c r="G7" s="613"/>
      <c r="H7" s="613"/>
      <c r="I7" s="613"/>
      <c r="J7" s="383"/>
      <c r="K7" s="623" t="s">
        <v>219</v>
      </c>
      <c r="L7" s="623"/>
      <c r="M7" s="623"/>
      <c r="N7" s="623"/>
      <c r="O7" s="623"/>
      <c r="P7" s="623"/>
      <c r="Q7" s="623"/>
      <c r="R7" s="623"/>
      <c r="S7" s="623"/>
      <c r="T7" s="623"/>
      <c r="U7" s="623"/>
      <c r="V7" s="623"/>
      <c r="W7" s="623"/>
      <c r="X7" s="623"/>
      <c r="Y7" s="382"/>
      <c r="Z7" s="608" t="s">
        <v>248</v>
      </c>
      <c r="AA7" s="613"/>
      <c r="AB7" s="613"/>
      <c r="AC7" s="624"/>
      <c r="AD7" s="384"/>
      <c r="AE7" s="385"/>
      <c r="AF7" s="386"/>
      <c r="AG7" s="612" t="s">
        <v>282</v>
      </c>
      <c r="AH7" s="613"/>
      <c r="AI7" s="613"/>
      <c r="AJ7" s="613"/>
      <c r="AK7" s="613"/>
      <c r="AL7" s="613"/>
      <c r="AM7" s="613"/>
      <c r="AN7" s="613"/>
      <c r="AO7" s="613"/>
      <c r="AP7" s="613"/>
      <c r="AQ7" s="252"/>
      <c r="AR7" s="610" t="s">
        <v>287</v>
      </c>
      <c r="AS7" s="610"/>
      <c r="AT7" s="610"/>
      <c r="AU7" s="610"/>
      <c r="AV7" s="252"/>
      <c r="AW7" s="608" t="s">
        <v>291</v>
      </c>
      <c r="AX7" s="608"/>
      <c r="AY7" s="608"/>
      <c r="AZ7" s="387"/>
      <c r="BA7" s="608" t="s">
        <v>290</v>
      </c>
      <c r="BB7" s="608"/>
      <c r="BC7" s="608"/>
      <c r="BD7" s="252"/>
      <c r="BE7" s="629" t="s">
        <v>359</v>
      </c>
      <c r="BF7" s="629"/>
      <c r="BG7" s="629"/>
      <c r="BH7" s="252"/>
      <c r="BI7" s="631" t="s">
        <v>413</v>
      </c>
      <c r="BJ7" s="377"/>
      <c r="BL7" s="252"/>
      <c r="BM7" s="252"/>
      <c r="BN7" s="252"/>
      <c r="BO7" s="252"/>
      <c r="BP7" s="252"/>
      <c r="BQ7" s="252"/>
      <c r="BR7" s="252"/>
      <c r="BS7" s="252"/>
      <c r="BT7" s="252"/>
      <c r="BU7" s="252"/>
      <c r="BV7" s="252"/>
      <c r="BW7" s="252"/>
      <c r="BX7" s="252"/>
      <c r="BY7" s="252"/>
      <c r="BZ7" s="252"/>
      <c r="CA7" s="252"/>
      <c r="CB7" s="252"/>
      <c r="CC7" s="252"/>
      <c r="CD7" s="252"/>
      <c r="CE7" s="252"/>
      <c r="CF7" s="252"/>
      <c r="CG7" s="252"/>
      <c r="CH7" s="252"/>
      <c r="CI7" s="252"/>
      <c r="CJ7" s="252"/>
      <c r="CK7" s="252"/>
      <c r="CL7" s="252"/>
      <c r="CM7" s="252"/>
      <c r="CN7" s="252"/>
    </row>
    <row r="8" spans="1:92" s="56" customFormat="1" ht="12.75">
      <c r="A8" s="360"/>
      <c r="B8" s="614"/>
      <c r="C8" s="615"/>
      <c r="D8" s="615"/>
      <c r="E8" s="615"/>
      <c r="F8" s="615"/>
      <c r="G8" s="615"/>
      <c r="H8" s="615"/>
      <c r="I8" s="615"/>
      <c r="J8" s="388"/>
      <c r="K8" s="623" t="s">
        <v>198</v>
      </c>
      <c r="L8" s="623"/>
      <c r="M8" s="623"/>
      <c r="N8" s="623"/>
      <c r="O8" s="389"/>
      <c r="P8" s="623" t="s">
        <v>199</v>
      </c>
      <c r="Q8" s="623"/>
      <c r="R8" s="623"/>
      <c r="S8" s="623"/>
      <c r="T8" s="623"/>
      <c r="U8" s="623" t="s">
        <v>200</v>
      </c>
      <c r="V8" s="623"/>
      <c r="W8" s="623"/>
      <c r="X8" s="623"/>
      <c r="Y8" s="385"/>
      <c r="Z8" s="615"/>
      <c r="AA8" s="615"/>
      <c r="AB8" s="615"/>
      <c r="AC8" s="625"/>
      <c r="AD8" s="384"/>
      <c r="AE8" s="385"/>
      <c r="AF8" s="386"/>
      <c r="AG8" s="614"/>
      <c r="AH8" s="615"/>
      <c r="AI8" s="615"/>
      <c r="AJ8" s="615"/>
      <c r="AK8" s="615"/>
      <c r="AL8" s="615"/>
      <c r="AM8" s="615"/>
      <c r="AN8" s="615"/>
      <c r="AO8" s="615"/>
      <c r="AP8" s="615"/>
      <c r="AQ8" s="252"/>
      <c r="AR8" s="611"/>
      <c r="AS8" s="611"/>
      <c r="AT8" s="611"/>
      <c r="AU8" s="611"/>
      <c r="AV8" s="252"/>
      <c r="AW8" s="609"/>
      <c r="AX8" s="609"/>
      <c r="AY8" s="609"/>
      <c r="AZ8" s="387"/>
      <c r="BA8" s="609"/>
      <c r="BB8" s="609"/>
      <c r="BC8" s="609"/>
      <c r="BD8" s="252"/>
      <c r="BE8" s="630"/>
      <c r="BF8" s="630"/>
      <c r="BG8" s="630"/>
      <c r="BH8" s="252"/>
      <c r="BI8" s="632"/>
      <c r="BJ8" s="377"/>
      <c r="BL8" s="252"/>
      <c r="BM8" s="252"/>
      <c r="BN8" s="252"/>
      <c r="BO8" s="252"/>
      <c r="BP8" s="252"/>
      <c r="BQ8" s="252"/>
      <c r="BR8" s="252"/>
      <c r="BS8" s="252"/>
      <c r="BT8" s="252"/>
      <c r="BU8" s="252"/>
      <c r="BV8" s="252"/>
      <c r="BW8" s="252"/>
      <c r="BX8" s="252"/>
      <c r="BY8" s="252"/>
      <c r="BZ8" s="252"/>
      <c r="CA8" s="252"/>
      <c r="CB8" s="252"/>
      <c r="CC8" s="252"/>
      <c r="CD8" s="252"/>
      <c r="CE8" s="252"/>
      <c r="CF8" s="252"/>
      <c r="CG8" s="252"/>
      <c r="CH8" s="252"/>
      <c r="CI8" s="252"/>
      <c r="CJ8" s="252"/>
      <c r="CK8" s="252"/>
      <c r="CL8" s="252"/>
      <c r="CM8" s="252"/>
      <c r="CN8" s="252"/>
    </row>
    <row r="9" spans="1:92" s="56" customFormat="1" ht="4.5" customHeight="1">
      <c r="A9" s="360"/>
      <c r="B9" s="390"/>
      <c r="C9" s="384"/>
      <c r="D9" s="384"/>
      <c r="E9" s="384"/>
      <c r="F9" s="384"/>
      <c r="G9" s="384"/>
      <c r="H9" s="384"/>
      <c r="I9" s="384"/>
      <c r="J9" s="384"/>
      <c r="K9" s="391"/>
      <c r="L9" s="390"/>
      <c r="M9" s="390"/>
      <c r="N9" s="390"/>
      <c r="O9" s="384"/>
      <c r="P9" s="384"/>
      <c r="Q9" s="384"/>
      <c r="R9" s="384"/>
      <c r="S9" s="384"/>
      <c r="T9" s="384"/>
      <c r="U9" s="384"/>
      <c r="V9" s="384"/>
      <c r="W9" s="384"/>
      <c r="X9" s="384"/>
      <c r="Y9" s="384"/>
      <c r="Z9" s="384"/>
      <c r="AA9" s="384"/>
      <c r="AB9" s="384"/>
      <c r="AC9" s="384"/>
      <c r="AD9" s="384"/>
      <c r="AE9" s="385"/>
      <c r="AF9" s="386"/>
      <c r="AG9" s="386"/>
      <c r="AH9" s="386"/>
      <c r="AI9" s="386"/>
      <c r="AJ9" s="386"/>
      <c r="AK9" s="386"/>
      <c r="AL9" s="386"/>
      <c r="AM9" s="386"/>
      <c r="AN9" s="386"/>
      <c r="AO9" s="386"/>
      <c r="AP9" s="386"/>
      <c r="AQ9" s="377"/>
      <c r="AR9" s="377"/>
      <c r="AS9" s="377"/>
      <c r="AT9" s="377"/>
      <c r="AU9" s="377"/>
      <c r="AV9" s="377"/>
      <c r="AW9" s="377"/>
      <c r="AX9" s="377"/>
      <c r="AY9" s="377"/>
      <c r="AZ9" s="377"/>
      <c r="BA9" s="377"/>
      <c r="BB9" s="377"/>
      <c r="BC9" s="377"/>
      <c r="BD9" s="377"/>
      <c r="BE9" s="377"/>
      <c r="BF9" s="377"/>
      <c r="BG9" s="377"/>
      <c r="BH9" s="377"/>
      <c r="BI9" s="377"/>
      <c r="BJ9" s="377"/>
      <c r="BL9" s="252"/>
      <c r="BM9" s="252"/>
      <c r="BN9" s="252"/>
      <c r="BO9" s="252"/>
      <c r="BP9" s="252"/>
      <c r="BQ9" s="252"/>
      <c r="BR9" s="252"/>
      <c r="BS9" s="252"/>
      <c r="BT9" s="252"/>
      <c r="BU9" s="252"/>
      <c r="BV9" s="252"/>
      <c r="BW9" s="252"/>
      <c r="BX9" s="252"/>
      <c r="BY9" s="252"/>
      <c r="BZ9" s="252"/>
      <c r="CA9" s="252"/>
      <c r="CB9" s="252"/>
      <c r="CC9" s="252"/>
      <c r="CD9" s="252"/>
      <c r="CE9" s="252"/>
      <c r="CF9" s="252"/>
      <c r="CG9" s="252"/>
      <c r="CH9" s="252"/>
      <c r="CI9" s="252"/>
      <c r="CJ9" s="252"/>
      <c r="CK9" s="252"/>
      <c r="CL9" s="252"/>
      <c r="CM9" s="252"/>
      <c r="CN9" s="252"/>
    </row>
    <row r="10" spans="1:62" ht="13.5" thickBot="1">
      <c r="A10" s="95"/>
      <c r="B10" s="574" t="s">
        <v>196</v>
      </c>
      <c r="C10" s="574"/>
      <c r="D10" s="574"/>
      <c r="E10" s="574"/>
      <c r="F10" s="574"/>
      <c r="G10" s="574"/>
      <c r="H10" s="574"/>
      <c r="I10" s="574"/>
      <c r="J10" s="233"/>
      <c r="K10" s="583"/>
      <c r="L10" s="584"/>
      <c r="M10" s="584"/>
      <c r="N10" s="585"/>
      <c r="O10" s="395"/>
      <c r="P10" s="583"/>
      <c r="Q10" s="584"/>
      <c r="R10" s="584"/>
      <c r="S10" s="585"/>
      <c r="T10" s="234"/>
      <c r="U10" s="583"/>
      <c r="V10" s="584"/>
      <c r="W10" s="584"/>
      <c r="X10" s="585"/>
      <c r="Y10" s="234"/>
      <c r="Z10" s="588">
        <f>IF(SUM(K10,P10,U10)&gt;0,SUM(K10,P10,U10),0)</f>
        <v>0</v>
      </c>
      <c r="AA10" s="589"/>
      <c r="AB10" s="589"/>
      <c r="AC10" s="590"/>
      <c r="AD10" s="122"/>
      <c r="AE10" s="235"/>
      <c r="AF10" s="126"/>
      <c r="AG10" s="574" t="s">
        <v>281</v>
      </c>
      <c r="AH10" s="574"/>
      <c r="AI10" s="574"/>
      <c r="AJ10" s="574"/>
      <c r="AK10" s="574"/>
      <c r="AL10" s="574"/>
      <c r="AM10" s="574"/>
      <c r="AN10" s="574"/>
      <c r="AO10" s="574"/>
      <c r="AP10" s="574"/>
      <c r="AR10" s="582" t="s">
        <v>288</v>
      </c>
      <c r="AS10" s="582"/>
      <c r="AT10" s="582"/>
      <c r="AU10" s="582"/>
      <c r="AW10" s="579"/>
      <c r="AX10" s="580"/>
      <c r="AY10" s="581"/>
      <c r="AZ10" s="393"/>
      <c r="BA10" s="579"/>
      <c r="BB10" s="580"/>
      <c r="BC10" s="581"/>
      <c r="BD10" s="394"/>
      <c r="BE10" s="579"/>
      <c r="BF10" s="580"/>
      <c r="BG10" s="581"/>
      <c r="BI10" s="218"/>
      <c r="BJ10" s="87"/>
    </row>
    <row r="11" spans="1:62" ht="4.5" customHeight="1">
      <c r="A11" s="95"/>
      <c r="B11" s="223"/>
      <c r="C11" s="223"/>
      <c r="D11" s="223"/>
      <c r="E11" s="223"/>
      <c r="F11" s="223"/>
      <c r="G11" s="223"/>
      <c r="H11" s="223"/>
      <c r="I11" s="223"/>
      <c r="J11" s="223"/>
      <c r="K11" s="234"/>
      <c r="L11" s="234"/>
      <c r="M11" s="234"/>
      <c r="N11" s="234"/>
      <c r="O11" s="396"/>
      <c r="P11" s="234"/>
      <c r="Q11" s="234"/>
      <c r="R11" s="234"/>
      <c r="S11" s="234"/>
      <c r="T11" s="234"/>
      <c r="U11" s="234"/>
      <c r="V11" s="234"/>
      <c r="W11" s="234"/>
      <c r="X11" s="234"/>
      <c r="Y11" s="234"/>
      <c r="Z11" s="234"/>
      <c r="AA11" s="234"/>
      <c r="AB11" s="234"/>
      <c r="AC11" s="234"/>
      <c r="AD11" s="95"/>
      <c r="AF11" s="87"/>
      <c r="AG11" s="220"/>
      <c r="AH11" s="220"/>
      <c r="AI11" s="220"/>
      <c r="AJ11" s="220"/>
      <c r="AK11" s="220"/>
      <c r="AL11" s="220"/>
      <c r="AM11" s="220"/>
      <c r="AN11" s="220"/>
      <c r="AO11" s="220"/>
      <c r="AP11" s="220"/>
      <c r="AW11" s="226"/>
      <c r="AX11" s="226"/>
      <c r="AY11" s="226"/>
      <c r="AZ11" s="394"/>
      <c r="BA11" s="226"/>
      <c r="BB11" s="226"/>
      <c r="BC11" s="226"/>
      <c r="BD11" s="394"/>
      <c r="BE11" s="226"/>
      <c r="BF11" s="226"/>
      <c r="BG11" s="226"/>
      <c r="BJ11" s="87"/>
    </row>
    <row r="12" spans="1:62" ht="13.5" customHeight="1" thickBot="1">
      <c r="A12" s="95"/>
      <c r="B12" s="574" t="s">
        <v>197</v>
      </c>
      <c r="C12" s="574"/>
      <c r="D12" s="574"/>
      <c r="E12" s="574"/>
      <c r="F12" s="574"/>
      <c r="G12" s="574"/>
      <c r="H12" s="574"/>
      <c r="I12" s="574"/>
      <c r="J12" s="233"/>
      <c r="K12" s="583"/>
      <c r="L12" s="584"/>
      <c r="M12" s="584"/>
      <c r="N12" s="585"/>
      <c r="O12" s="396"/>
      <c r="P12" s="583"/>
      <c r="Q12" s="584"/>
      <c r="R12" s="584"/>
      <c r="S12" s="585"/>
      <c r="T12" s="234"/>
      <c r="U12" s="583"/>
      <c r="V12" s="584"/>
      <c r="W12" s="584"/>
      <c r="X12" s="585"/>
      <c r="Y12" s="234"/>
      <c r="Z12" s="588">
        <f>IF(SUM(K12,P12,U12)&gt;0,SUM(K12,P12,U12),0)</f>
        <v>0</v>
      </c>
      <c r="AA12" s="589"/>
      <c r="AB12" s="589"/>
      <c r="AC12" s="590"/>
      <c r="AD12" s="122"/>
      <c r="AE12" s="235"/>
      <c r="AF12" s="126"/>
      <c r="AG12" s="574" t="s">
        <v>283</v>
      </c>
      <c r="AH12" s="574"/>
      <c r="AI12" s="574"/>
      <c r="AJ12" s="574"/>
      <c r="AK12" s="574"/>
      <c r="AL12" s="574"/>
      <c r="AM12" s="574"/>
      <c r="AN12" s="574"/>
      <c r="AO12" s="574"/>
      <c r="AP12" s="574"/>
      <c r="AR12" s="582" t="s">
        <v>289</v>
      </c>
      <c r="AS12" s="582"/>
      <c r="AT12" s="582"/>
      <c r="AU12" s="582"/>
      <c r="AW12" s="579"/>
      <c r="AX12" s="580"/>
      <c r="AY12" s="581"/>
      <c r="AZ12" s="394"/>
      <c r="BA12" s="579"/>
      <c r="BB12" s="580"/>
      <c r="BC12" s="581"/>
      <c r="BD12" s="394"/>
      <c r="BE12" s="579"/>
      <c r="BF12" s="580"/>
      <c r="BG12" s="581"/>
      <c r="BH12" s="236"/>
      <c r="BI12" s="392"/>
      <c r="BJ12" s="87"/>
    </row>
    <row r="13" spans="1:62" ht="4.5" customHeight="1">
      <c r="A13" s="95"/>
      <c r="B13" s="223"/>
      <c r="C13" s="223"/>
      <c r="D13" s="223"/>
      <c r="E13" s="223"/>
      <c r="F13" s="223"/>
      <c r="G13" s="223"/>
      <c r="H13" s="223"/>
      <c r="I13" s="223"/>
      <c r="J13" s="223"/>
      <c r="K13" s="234"/>
      <c r="L13" s="234"/>
      <c r="M13" s="234"/>
      <c r="N13" s="234"/>
      <c r="O13" s="396"/>
      <c r="P13" s="234"/>
      <c r="Q13" s="234"/>
      <c r="R13" s="234"/>
      <c r="S13" s="234"/>
      <c r="T13" s="234"/>
      <c r="U13" s="234"/>
      <c r="V13" s="234"/>
      <c r="W13" s="234"/>
      <c r="X13" s="234"/>
      <c r="Y13" s="234"/>
      <c r="Z13" s="234"/>
      <c r="AA13" s="234"/>
      <c r="AB13" s="234"/>
      <c r="AC13" s="234"/>
      <c r="AD13" s="95"/>
      <c r="AF13" s="87"/>
      <c r="AG13" s="220"/>
      <c r="AH13" s="220"/>
      <c r="AI13" s="220"/>
      <c r="AJ13" s="220"/>
      <c r="AK13" s="220"/>
      <c r="AL13" s="220"/>
      <c r="AM13" s="220"/>
      <c r="AN13" s="220"/>
      <c r="AO13" s="220"/>
      <c r="AP13" s="220"/>
      <c r="AV13" s="226"/>
      <c r="AW13" s="226"/>
      <c r="AX13" s="226"/>
      <c r="AY13" s="226"/>
      <c r="AZ13" s="394"/>
      <c r="BA13" s="226"/>
      <c r="BB13" s="226"/>
      <c r="BC13" s="226"/>
      <c r="BD13" s="394"/>
      <c r="BE13" s="226"/>
      <c r="BF13" s="226"/>
      <c r="BG13" s="226"/>
      <c r="BJ13" s="87"/>
    </row>
    <row r="14" spans="1:62" ht="13.5" customHeight="1" thickBot="1">
      <c r="A14" s="95"/>
      <c r="B14" s="574" t="s">
        <v>84</v>
      </c>
      <c r="C14" s="574"/>
      <c r="D14" s="574"/>
      <c r="E14" s="574"/>
      <c r="F14" s="574"/>
      <c r="G14" s="574"/>
      <c r="H14" s="574"/>
      <c r="I14" s="574"/>
      <c r="J14" s="233"/>
      <c r="K14" s="583"/>
      <c r="L14" s="584"/>
      <c r="M14" s="584"/>
      <c r="N14" s="585"/>
      <c r="O14" s="396"/>
      <c r="P14" s="583"/>
      <c r="Q14" s="584"/>
      <c r="R14" s="584"/>
      <c r="S14" s="585"/>
      <c r="T14" s="234"/>
      <c r="U14" s="583"/>
      <c r="V14" s="584"/>
      <c r="W14" s="584"/>
      <c r="X14" s="585"/>
      <c r="Y14" s="234"/>
      <c r="Z14" s="588">
        <f>IF(SUM(K14,P14,U14)&gt;0,SUM(K14,P14,U14),0)</f>
        <v>0</v>
      </c>
      <c r="AA14" s="589"/>
      <c r="AB14" s="589"/>
      <c r="AC14" s="590"/>
      <c r="AD14" s="122"/>
      <c r="AE14" s="235"/>
      <c r="AF14" s="126"/>
      <c r="AG14" s="574" t="s">
        <v>284</v>
      </c>
      <c r="AH14" s="574"/>
      <c r="AI14" s="574"/>
      <c r="AJ14" s="574"/>
      <c r="AK14" s="574"/>
      <c r="AL14" s="574"/>
      <c r="AM14" s="574"/>
      <c r="AN14" s="574"/>
      <c r="AO14" s="574"/>
      <c r="AP14" s="574"/>
      <c r="AR14" s="582" t="s">
        <v>289</v>
      </c>
      <c r="AS14" s="582"/>
      <c r="AT14" s="582"/>
      <c r="AU14" s="582"/>
      <c r="AW14" s="579"/>
      <c r="AX14" s="580"/>
      <c r="AY14" s="581"/>
      <c r="AZ14" s="394"/>
      <c r="BA14" s="579"/>
      <c r="BB14" s="580"/>
      <c r="BC14" s="581"/>
      <c r="BD14" s="394"/>
      <c r="BE14" s="579"/>
      <c r="BF14" s="580"/>
      <c r="BG14" s="581"/>
      <c r="BH14" s="236"/>
      <c r="BJ14" s="87"/>
    </row>
    <row r="15" spans="1:62" ht="4.5" customHeight="1">
      <c r="A15" s="95"/>
      <c r="B15" s="223"/>
      <c r="C15" s="223"/>
      <c r="D15" s="223"/>
      <c r="E15" s="223"/>
      <c r="F15" s="223"/>
      <c r="G15" s="223"/>
      <c r="H15" s="223"/>
      <c r="I15" s="223"/>
      <c r="J15" s="223"/>
      <c r="K15" s="234"/>
      <c r="L15" s="234"/>
      <c r="M15" s="234"/>
      <c r="N15" s="234"/>
      <c r="O15" s="396"/>
      <c r="P15" s="234"/>
      <c r="Q15" s="234"/>
      <c r="R15" s="234"/>
      <c r="S15" s="234"/>
      <c r="T15" s="234"/>
      <c r="U15" s="234"/>
      <c r="V15" s="234"/>
      <c r="W15" s="234"/>
      <c r="X15" s="234"/>
      <c r="Y15" s="234"/>
      <c r="Z15" s="234"/>
      <c r="AA15" s="234"/>
      <c r="AB15" s="234"/>
      <c r="AC15" s="234"/>
      <c r="AD15" s="95"/>
      <c r="AF15" s="87"/>
      <c r="AG15" s="220"/>
      <c r="AH15" s="220"/>
      <c r="AI15" s="220"/>
      <c r="AJ15" s="220"/>
      <c r="AK15" s="220"/>
      <c r="AL15" s="220"/>
      <c r="AM15" s="220"/>
      <c r="AN15" s="220"/>
      <c r="AO15" s="220"/>
      <c r="AP15" s="220"/>
      <c r="AZ15" s="252"/>
      <c r="BD15" s="252"/>
      <c r="BJ15" s="87"/>
    </row>
    <row r="16" spans="1:62" ht="13.5" customHeight="1" thickBot="1">
      <c r="A16" s="95"/>
      <c r="B16" s="594" t="s">
        <v>276</v>
      </c>
      <c r="C16" s="594"/>
      <c r="D16" s="594"/>
      <c r="E16" s="594"/>
      <c r="F16" s="594"/>
      <c r="G16" s="594"/>
      <c r="H16" s="594"/>
      <c r="I16" s="594"/>
      <c r="J16" s="237"/>
      <c r="K16" s="588">
        <f>IF(SUM(K10,K12,K14)&gt;0,SUM(K10,K12,K14),0)</f>
        <v>0</v>
      </c>
      <c r="L16" s="589"/>
      <c r="M16" s="589"/>
      <c r="N16" s="590"/>
      <c r="O16" s="396"/>
      <c r="P16" s="588">
        <f>IF(SUM(P10,P12,P14)&gt;0,SUM(P10,P12,P14),0)</f>
        <v>0</v>
      </c>
      <c r="Q16" s="589"/>
      <c r="R16" s="589"/>
      <c r="S16" s="590"/>
      <c r="T16" s="234"/>
      <c r="U16" s="588">
        <f>IF(SUM(U10,U12,U14)&gt;0,SUM(U10,U12,U14),0)</f>
        <v>0</v>
      </c>
      <c r="V16" s="589"/>
      <c r="W16" s="589"/>
      <c r="X16" s="590"/>
      <c r="Y16" s="234"/>
      <c r="Z16" s="588">
        <f>IF(SUM(Z10,Z12,Z14)&gt;0,SUM(Z10,Z12,Z14),0)</f>
        <v>0</v>
      </c>
      <c r="AA16" s="589"/>
      <c r="AB16" s="589"/>
      <c r="AC16" s="590"/>
      <c r="AD16" s="122"/>
      <c r="AE16" s="235"/>
      <c r="AF16" s="126"/>
      <c r="AW16" s="577" t="s">
        <v>386</v>
      </c>
      <c r="AX16" s="577"/>
      <c r="AY16" s="577"/>
      <c r="AZ16" s="252"/>
      <c r="BA16" s="577" t="s">
        <v>399</v>
      </c>
      <c r="BB16" s="577"/>
      <c r="BC16" s="577"/>
      <c r="BD16" s="252"/>
      <c r="BE16" s="578"/>
      <c r="BF16" s="578"/>
      <c r="BG16" s="578"/>
      <c r="BJ16" s="87"/>
    </row>
    <row r="17" spans="1:62" ht="4.5" customHeight="1">
      <c r="A17" s="95"/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F17" s="87"/>
      <c r="AZ17" s="252"/>
      <c r="BD17" s="252"/>
      <c r="BJ17" s="87"/>
    </row>
    <row r="18" spans="1:62" ht="12.75" customHeight="1" thickBot="1">
      <c r="A18" s="95"/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F18" s="87"/>
      <c r="AG18" s="574" t="s">
        <v>297</v>
      </c>
      <c r="AH18" s="574"/>
      <c r="AI18" s="574"/>
      <c r="AJ18" s="574"/>
      <c r="AK18" s="574"/>
      <c r="AL18" s="574"/>
      <c r="AM18" s="574"/>
      <c r="AN18" s="574"/>
      <c r="AO18" s="574"/>
      <c r="AP18" s="574"/>
      <c r="AR18" s="582" t="s">
        <v>387</v>
      </c>
      <c r="AS18" s="582"/>
      <c r="AT18" s="582"/>
      <c r="AU18" s="582"/>
      <c r="AW18" s="583"/>
      <c r="AX18" s="584"/>
      <c r="AY18" s="585"/>
      <c r="AZ18" s="252"/>
      <c r="BA18" s="583"/>
      <c r="BB18" s="584"/>
      <c r="BC18" s="585"/>
      <c r="BD18" s="252"/>
      <c r="BE18" s="579"/>
      <c r="BF18" s="580"/>
      <c r="BG18" s="581"/>
      <c r="BJ18" s="87"/>
    </row>
    <row r="19" spans="1:62" ht="4.5" customHeight="1">
      <c r="A19" s="95"/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F19" s="87"/>
      <c r="AZ19" s="252"/>
      <c r="BD19" s="252"/>
      <c r="BJ19" s="87"/>
    </row>
    <row r="20" spans="1:62" ht="13.5" customHeight="1" thickBot="1">
      <c r="A20" s="95"/>
      <c r="B20" s="617" t="s">
        <v>245</v>
      </c>
      <c r="C20" s="618"/>
      <c r="D20" s="618"/>
      <c r="E20" s="618"/>
      <c r="F20" s="618"/>
      <c r="G20" s="618"/>
      <c r="H20" s="618"/>
      <c r="I20" s="618"/>
      <c r="J20" s="618"/>
      <c r="K20" s="618"/>
      <c r="L20" s="618"/>
      <c r="M20" s="618"/>
      <c r="N20" s="618"/>
      <c r="O20" s="618"/>
      <c r="P20" s="618"/>
      <c r="Q20" s="618"/>
      <c r="R20" s="618"/>
      <c r="S20" s="618"/>
      <c r="T20" s="618"/>
      <c r="U20" s="619"/>
      <c r="V20" s="95"/>
      <c r="W20" s="95"/>
      <c r="X20" s="95"/>
      <c r="Y20" s="95"/>
      <c r="Z20" s="95"/>
      <c r="AA20" s="95"/>
      <c r="AB20" s="95"/>
      <c r="AC20" s="95"/>
      <c r="AD20" s="95"/>
      <c r="AF20" s="87"/>
      <c r="AG20" s="602" t="s">
        <v>144</v>
      </c>
      <c r="AH20" s="602"/>
      <c r="AI20" s="602"/>
      <c r="AJ20" s="616"/>
      <c r="AK20" s="420" t="s">
        <v>447</v>
      </c>
      <c r="AL20" s="223"/>
      <c r="AM20" s="223"/>
      <c r="AN20" s="282"/>
      <c r="AO20" s="282"/>
      <c r="AP20" s="282"/>
      <c r="AR20" s="582" t="s">
        <v>387</v>
      </c>
      <c r="AS20" s="582"/>
      <c r="AT20" s="582"/>
      <c r="AU20" s="582"/>
      <c r="AW20" s="583"/>
      <c r="AX20" s="584"/>
      <c r="AY20" s="585"/>
      <c r="AZ20" s="252"/>
      <c r="BD20" s="252"/>
      <c r="BJ20" s="87"/>
    </row>
    <row r="21" spans="1:62" ht="5.25" customHeight="1">
      <c r="A21" s="95"/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F21" s="87"/>
      <c r="AG21" s="602"/>
      <c r="AH21" s="602"/>
      <c r="AI21" s="602"/>
      <c r="AJ21" s="616"/>
      <c r="AK21" s="421"/>
      <c r="AL21" s="221"/>
      <c r="AM21" s="221"/>
      <c r="AN21" s="282"/>
      <c r="AO21" s="282"/>
      <c r="AP21" s="282"/>
      <c r="AU21" s="221"/>
      <c r="AZ21" s="252"/>
      <c r="BD21" s="252"/>
      <c r="BJ21" s="87"/>
    </row>
    <row r="22" spans="1:62" ht="12.75" customHeight="1" thickBot="1">
      <c r="A22" s="95"/>
      <c r="B22" s="595" t="s">
        <v>212</v>
      </c>
      <c r="C22" s="596"/>
      <c r="D22" s="596"/>
      <c r="E22" s="596"/>
      <c r="F22" s="596"/>
      <c r="G22" s="596"/>
      <c r="H22" s="596"/>
      <c r="I22" s="596"/>
      <c r="J22" s="238"/>
      <c r="K22" s="596" t="s">
        <v>278</v>
      </c>
      <c r="L22" s="596"/>
      <c r="M22" s="596"/>
      <c r="N22" s="596"/>
      <c r="O22" s="596"/>
      <c r="P22" s="596"/>
      <c r="Q22" s="596"/>
      <c r="R22" s="596"/>
      <c r="S22" s="596"/>
      <c r="T22" s="596"/>
      <c r="U22" s="596"/>
      <c r="V22" s="596"/>
      <c r="W22" s="596"/>
      <c r="X22" s="596"/>
      <c r="Y22" s="232"/>
      <c r="Z22" s="599" t="s">
        <v>248</v>
      </c>
      <c r="AA22" s="596"/>
      <c r="AB22" s="596"/>
      <c r="AC22" s="600"/>
      <c r="AD22" s="95"/>
      <c r="AF22" s="87"/>
      <c r="AG22" s="602"/>
      <c r="AH22" s="602"/>
      <c r="AI22" s="602"/>
      <c r="AJ22" s="616"/>
      <c r="AK22" s="420" t="s">
        <v>448</v>
      </c>
      <c r="AL22" s="223"/>
      <c r="AM22" s="223"/>
      <c r="AN22" s="282"/>
      <c r="AO22" s="282"/>
      <c r="AP22" s="282"/>
      <c r="AR22" s="582" t="s">
        <v>387</v>
      </c>
      <c r="AS22" s="582"/>
      <c r="AT22" s="582"/>
      <c r="AU22" s="582"/>
      <c r="AW22" s="583"/>
      <c r="AX22" s="584"/>
      <c r="AY22" s="585"/>
      <c r="AZ22" s="252"/>
      <c r="BD22" s="252"/>
      <c r="BJ22" s="87"/>
    </row>
    <row r="23" spans="1:62" ht="5.25" customHeight="1">
      <c r="A23" s="95"/>
      <c r="B23" s="597"/>
      <c r="C23" s="598"/>
      <c r="D23" s="598"/>
      <c r="E23" s="598"/>
      <c r="F23" s="598"/>
      <c r="G23" s="598"/>
      <c r="H23" s="598"/>
      <c r="I23" s="598"/>
      <c r="J23" s="231"/>
      <c r="K23" s="598"/>
      <c r="L23" s="598"/>
      <c r="M23" s="598"/>
      <c r="N23" s="598"/>
      <c r="O23" s="598"/>
      <c r="P23" s="598"/>
      <c r="Q23" s="598"/>
      <c r="R23" s="598"/>
      <c r="S23" s="598"/>
      <c r="T23" s="598"/>
      <c r="U23" s="598"/>
      <c r="V23" s="598"/>
      <c r="W23" s="598"/>
      <c r="X23" s="598"/>
      <c r="Y23" s="231"/>
      <c r="Z23" s="601"/>
      <c r="AA23" s="602"/>
      <c r="AB23" s="602"/>
      <c r="AC23" s="603"/>
      <c r="AD23" s="95"/>
      <c r="AF23" s="87"/>
      <c r="AG23" s="602"/>
      <c r="AH23" s="602"/>
      <c r="AI23" s="602"/>
      <c r="AJ23" s="616"/>
      <c r="AK23" s="422"/>
      <c r="AL23" s="220"/>
      <c r="AM23" s="220"/>
      <c r="AN23" s="282"/>
      <c r="AO23" s="282"/>
      <c r="AP23" s="282"/>
      <c r="AU23" s="220"/>
      <c r="AV23" s="220"/>
      <c r="AW23" s="220"/>
      <c r="AX23" s="220"/>
      <c r="AY23" s="220"/>
      <c r="AZ23" s="385"/>
      <c r="BA23" s="220"/>
      <c r="BD23" s="252"/>
      <c r="BJ23" s="87"/>
    </row>
    <row r="24" spans="1:62" ht="13.5" thickBot="1">
      <c r="A24" s="95"/>
      <c r="B24" s="239" t="s">
        <v>147</v>
      </c>
      <c r="C24" s="240"/>
      <c r="D24" s="240"/>
      <c r="E24" s="626" t="s">
        <v>148</v>
      </c>
      <c r="F24" s="626"/>
      <c r="G24" s="626"/>
      <c r="H24" s="626"/>
      <c r="I24" s="626"/>
      <c r="J24" s="231"/>
      <c r="K24" s="598" t="s">
        <v>277</v>
      </c>
      <c r="L24" s="598"/>
      <c r="M24" s="598"/>
      <c r="N24" s="598"/>
      <c r="O24" s="241"/>
      <c r="P24" s="598" t="s">
        <v>279</v>
      </c>
      <c r="Q24" s="598"/>
      <c r="R24" s="598"/>
      <c r="S24" s="598"/>
      <c r="T24" s="598"/>
      <c r="U24" s="598" t="s">
        <v>280</v>
      </c>
      <c r="V24" s="598"/>
      <c r="W24" s="598"/>
      <c r="X24" s="598"/>
      <c r="Y24" s="220"/>
      <c r="Z24" s="598"/>
      <c r="AA24" s="598"/>
      <c r="AB24" s="598"/>
      <c r="AC24" s="604"/>
      <c r="AD24" s="95"/>
      <c r="AF24" s="87"/>
      <c r="AG24" s="602"/>
      <c r="AH24" s="602"/>
      <c r="AI24" s="602"/>
      <c r="AJ24" s="602"/>
      <c r="AK24" s="423" t="s">
        <v>449</v>
      </c>
      <c r="AL24" s="221"/>
      <c r="AM24" s="221"/>
      <c r="AN24" s="282"/>
      <c r="AO24" s="282"/>
      <c r="AP24" s="282"/>
      <c r="AR24" s="582" t="s">
        <v>387</v>
      </c>
      <c r="AS24" s="582"/>
      <c r="AT24" s="582"/>
      <c r="AU24" s="582"/>
      <c r="AW24" s="583"/>
      <c r="AX24" s="584"/>
      <c r="AY24" s="585"/>
      <c r="AZ24" s="252"/>
      <c r="BB24" s="221"/>
      <c r="BD24" s="252"/>
      <c r="BJ24" s="87"/>
    </row>
    <row r="25" spans="1:62" ht="5.25" customHeight="1">
      <c r="A25" s="95"/>
      <c r="B25" s="248"/>
      <c r="C25" s="248"/>
      <c r="D25" s="248"/>
      <c r="E25" s="249"/>
      <c r="F25" s="249"/>
      <c r="G25" s="249"/>
      <c r="H25" s="249"/>
      <c r="I25" s="249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F25" s="87"/>
      <c r="AK25" s="423"/>
      <c r="AL25" s="282"/>
      <c r="AM25" s="282"/>
      <c r="AN25" s="282"/>
      <c r="AO25" s="282"/>
      <c r="AP25" s="282"/>
      <c r="AZ25" s="252"/>
      <c r="BB25" s="221"/>
      <c r="BD25" s="252"/>
      <c r="BJ25" s="87"/>
    </row>
    <row r="26" spans="1:62" ht="13.5" customHeight="1" thickBot="1">
      <c r="A26" s="95"/>
      <c r="B26" s="591" t="s">
        <v>202</v>
      </c>
      <c r="C26" s="591"/>
      <c r="D26" s="243"/>
      <c r="E26" s="592" t="s">
        <v>203</v>
      </c>
      <c r="F26" s="592"/>
      <c r="G26" s="592"/>
      <c r="H26" s="592"/>
      <c r="I26" s="592"/>
      <c r="J26" s="95"/>
      <c r="K26" s="583"/>
      <c r="L26" s="584"/>
      <c r="M26" s="584"/>
      <c r="N26" s="585"/>
      <c r="O26" s="95"/>
      <c r="P26" s="583"/>
      <c r="Q26" s="584"/>
      <c r="R26" s="584"/>
      <c r="S26" s="585"/>
      <c r="T26" s="95"/>
      <c r="U26" s="583"/>
      <c r="V26" s="584"/>
      <c r="W26" s="584"/>
      <c r="X26" s="585"/>
      <c r="Y26" s="95"/>
      <c r="Z26" s="588">
        <f>IF(SUM(K26,P26,U26)&gt;0,SUM(K26,P26,U26),0)</f>
        <v>0</v>
      </c>
      <c r="AA26" s="589"/>
      <c r="AB26" s="589"/>
      <c r="AC26" s="590"/>
      <c r="AD26" s="95"/>
      <c r="AF26" s="87"/>
      <c r="AK26" s="424" t="s">
        <v>450</v>
      </c>
      <c r="AL26" s="419"/>
      <c r="AM26" s="419"/>
      <c r="AN26" s="419"/>
      <c r="AO26" s="419"/>
      <c r="AP26" s="419"/>
      <c r="AR26" s="224" t="s">
        <v>387</v>
      </c>
      <c r="AS26" s="224"/>
      <c r="AT26" s="224"/>
      <c r="AU26" s="224"/>
      <c r="AW26" s="583"/>
      <c r="AX26" s="584"/>
      <c r="AY26" s="585"/>
      <c r="BJ26" s="87"/>
    </row>
    <row r="27" spans="1:62" ht="4.5" customHeight="1">
      <c r="A27" s="95"/>
      <c r="B27" s="244"/>
      <c r="C27" s="245"/>
      <c r="D27" s="245"/>
      <c r="E27" s="246"/>
      <c r="F27" s="246"/>
      <c r="G27" s="246"/>
      <c r="H27" s="246"/>
      <c r="I27" s="246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F27" s="87"/>
      <c r="AK27" s="419"/>
      <c r="AL27" s="419"/>
      <c r="AM27" s="419"/>
      <c r="AN27" s="419"/>
      <c r="AO27" s="419"/>
      <c r="AP27" s="419"/>
      <c r="BJ27" s="87"/>
    </row>
    <row r="28" spans="1:62" ht="13.5" thickBot="1">
      <c r="A28" s="95"/>
      <c r="B28" s="591" t="s">
        <v>204</v>
      </c>
      <c r="C28" s="591"/>
      <c r="D28" s="242"/>
      <c r="E28" s="592" t="s">
        <v>241</v>
      </c>
      <c r="F28" s="593"/>
      <c r="G28" s="593"/>
      <c r="H28" s="593"/>
      <c r="I28" s="593"/>
      <c r="J28" s="95"/>
      <c r="K28" s="583"/>
      <c r="L28" s="584"/>
      <c r="M28" s="584"/>
      <c r="N28" s="585"/>
      <c r="O28" s="95"/>
      <c r="P28" s="583"/>
      <c r="Q28" s="584"/>
      <c r="R28" s="584"/>
      <c r="S28" s="585"/>
      <c r="T28" s="95"/>
      <c r="U28" s="583"/>
      <c r="V28" s="584"/>
      <c r="W28" s="584"/>
      <c r="X28" s="585"/>
      <c r="Y28" s="95"/>
      <c r="Z28" s="588">
        <f>IF(SUM(K28,P28,U28)&gt;0,SUM(K28,P28,U28),0)</f>
        <v>0</v>
      </c>
      <c r="AA28" s="589"/>
      <c r="AB28" s="589"/>
      <c r="AC28" s="590"/>
      <c r="AD28" s="95"/>
      <c r="AF28" s="87"/>
      <c r="AG28" s="221" t="s">
        <v>394</v>
      </c>
      <c r="AH28" s="221"/>
      <c r="AI28" s="221"/>
      <c r="AJ28" s="221"/>
      <c r="AK28" s="221"/>
      <c r="AL28" s="221"/>
      <c r="AM28" s="221"/>
      <c r="AR28" s="582" t="s">
        <v>387</v>
      </c>
      <c r="AS28" s="582"/>
      <c r="AT28" s="582"/>
      <c r="AU28" s="582"/>
      <c r="AW28" s="583"/>
      <c r="AX28" s="584"/>
      <c r="AY28" s="585"/>
      <c r="AZ28" s="252"/>
      <c r="BB28" s="221"/>
      <c r="BD28" s="252"/>
      <c r="BJ28" s="87"/>
    </row>
    <row r="29" spans="1:62" ht="4.5" customHeight="1">
      <c r="A29" s="95"/>
      <c r="B29" s="244"/>
      <c r="C29" s="245"/>
      <c r="D29" s="245"/>
      <c r="E29" s="246"/>
      <c r="F29" s="224"/>
      <c r="G29" s="224"/>
      <c r="H29" s="224"/>
      <c r="I29" s="224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87"/>
      <c r="BE29" s="87"/>
      <c r="BF29" s="87"/>
      <c r="BG29" s="87"/>
      <c r="BH29" s="87"/>
      <c r="BI29" s="87"/>
      <c r="BJ29" s="87"/>
    </row>
    <row r="30" spans="1:62" ht="13.5" customHeight="1" thickBot="1">
      <c r="A30" s="95"/>
      <c r="B30" s="591" t="s">
        <v>206</v>
      </c>
      <c r="C30" s="591"/>
      <c r="D30" s="242"/>
      <c r="E30" s="592" t="s">
        <v>242</v>
      </c>
      <c r="F30" s="593"/>
      <c r="G30" s="593"/>
      <c r="H30" s="593"/>
      <c r="I30" s="593"/>
      <c r="J30" s="95"/>
      <c r="K30" s="583"/>
      <c r="L30" s="584"/>
      <c r="M30" s="584"/>
      <c r="N30" s="585"/>
      <c r="O30" s="95"/>
      <c r="P30" s="583"/>
      <c r="Q30" s="584"/>
      <c r="R30" s="584"/>
      <c r="S30" s="585"/>
      <c r="T30" s="95"/>
      <c r="U30" s="583"/>
      <c r="V30" s="584"/>
      <c r="W30" s="584"/>
      <c r="X30" s="585"/>
      <c r="Y30" s="95"/>
      <c r="Z30" s="588">
        <f>IF(SUM(K30,P30,U30)&gt;0,SUM(K30,P30,U30),0)</f>
        <v>0</v>
      </c>
      <c r="AA30" s="589"/>
      <c r="AB30" s="589"/>
      <c r="AC30" s="590"/>
      <c r="AD30" s="95"/>
      <c r="AF30" s="87"/>
      <c r="AG30" s="228" t="s">
        <v>292</v>
      </c>
      <c r="AH30" s="229"/>
      <c r="AI30" s="229"/>
      <c r="AJ30" s="229"/>
      <c r="AK30" s="229"/>
      <c r="AL30" s="229"/>
      <c r="AM30" s="229"/>
      <c r="AN30" s="229"/>
      <c r="AO30" s="229"/>
      <c r="AP30" s="229"/>
      <c r="AQ30" s="229"/>
      <c r="AR30" s="229"/>
      <c r="AS30" s="229"/>
      <c r="AT30" s="229"/>
      <c r="AU30" s="229"/>
      <c r="AV30" s="229"/>
      <c r="AW30" s="230"/>
      <c r="AX30" s="125"/>
      <c r="AY30" s="125"/>
      <c r="AZ30" s="125"/>
      <c r="BA30" s="125"/>
      <c r="BB30" s="125"/>
      <c r="BC30" s="125"/>
      <c r="BD30" s="125"/>
      <c r="BE30" s="125"/>
      <c r="BF30" s="125"/>
      <c r="BG30" s="125"/>
      <c r="BH30" s="87"/>
      <c r="BI30" s="87"/>
      <c r="BJ30" s="87"/>
    </row>
    <row r="31" spans="1:62" ht="4.5" customHeight="1">
      <c r="A31" s="95"/>
      <c r="B31" s="244"/>
      <c r="C31" s="245"/>
      <c r="D31" s="245"/>
      <c r="E31" s="246"/>
      <c r="F31" s="224"/>
      <c r="G31" s="224"/>
      <c r="H31" s="224"/>
      <c r="I31" s="224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</row>
    <row r="32" spans="1:62" ht="13.5" thickBot="1">
      <c r="A32" s="95"/>
      <c r="B32" s="591" t="s">
        <v>208</v>
      </c>
      <c r="C32" s="591"/>
      <c r="D32" s="242"/>
      <c r="E32" s="592" t="s">
        <v>243</v>
      </c>
      <c r="F32" s="593"/>
      <c r="G32" s="593"/>
      <c r="H32" s="593"/>
      <c r="I32" s="593"/>
      <c r="J32" s="95"/>
      <c r="K32" s="583"/>
      <c r="L32" s="584"/>
      <c r="M32" s="584"/>
      <c r="N32" s="585"/>
      <c r="O32" s="95"/>
      <c r="P32" s="583"/>
      <c r="Q32" s="584"/>
      <c r="R32" s="584"/>
      <c r="S32" s="585"/>
      <c r="T32" s="95"/>
      <c r="U32" s="583"/>
      <c r="V32" s="584"/>
      <c r="W32" s="584"/>
      <c r="X32" s="585"/>
      <c r="Y32" s="95"/>
      <c r="Z32" s="588">
        <f>IF(SUM(K32,P32,U32)&gt;0,SUM(K32,P32,U32),0)</f>
        <v>0</v>
      </c>
      <c r="AA32" s="589"/>
      <c r="AB32" s="589"/>
      <c r="AC32" s="590"/>
      <c r="AD32" s="95"/>
      <c r="AF32" s="87"/>
      <c r="AG32" s="627" t="s">
        <v>281</v>
      </c>
      <c r="AH32" s="627"/>
      <c r="AI32" s="627"/>
      <c r="AJ32" s="627"/>
      <c r="AK32" s="627"/>
      <c r="AL32" s="627"/>
      <c r="AM32" s="627"/>
      <c r="AN32" s="627"/>
      <c r="AO32" s="627"/>
      <c r="AP32" s="628"/>
      <c r="AQ32" s="575" t="str">
        <f>IF(Controlli!D3=1,Controlli!A3,IF(Controlli!D20=1,Controlli!A20,IF(Controlli!D31=1,Controlli!A31,IF(Controlli!D45=1,Controlli!A45,IF(Controlli!D55=1,Controlli!A55,"Nessuna segnalazione")))))</f>
        <v>Nessuna segnalazione</v>
      </c>
      <c r="AR32" s="576"/>
      <c r="AS32" s="576"/>
      <c r="AT32" s="576"/>
      <c r="AU32" s="576"/>
      <c r="AV32" s="576"/>
      <c r="AW32" s="576"/>
      <c r="AX32" s="576"/>
      <c r="AY32" s="576"/>
      <c r="AZ32" s="576"/>
      <c r="BA32" s="576"/>
      <c r="BB32" s="576"/>
      <c r="BC32" s="576"/>
      <c r="BD32" s="576"/>
      <c r="BE32" s="576"/>
      <c r="BF32" s="576"/>
      <c r="BG32" s="576"/>
      <c r="BH32" s="576"/>
      <c r="BI32" s="576"/>
      <c r="BJ32" s="87"/>
    </row>
    <row r="33" spans="1:62" ht="4.5" customHeight="1">
      <c r="A33" s="95"/>
      <c r="B33" s="244"/>
      <c r="C33" s="245"/>
      <c r="D33" s="245"/>
      <c r="E33" s="246"/>
      <c r="F33" s="224"/>
      <c r="G33" s="224"/>
      <c r="H33" s="224"/>
      <c r="I33" s="224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F33" s="87"/>
      <c r="AG33" s="627"/>
      <c r="AH33" s="627"/>
      <c r="AI33" s="627"/>
      <c r="AJ33" s="627"/>
      <c r="AK33" s="627"/>
      <c r="AL33" s="627"/>
      <c r="AM33" s="627"/>
      <c r="AN33" s="627"/>
      <c r="AO33" s="627"/>
      <c r="AP33" s="628"/>
      <c r="AQ33" s="575"/>
      <c r="AR33" s="576"/>
      <c r="AS33" s="576"/>
      <c r="AT33" s="576"/>
      <c r="AU33" s="576"/>
      <c r="AV33" s="576"/>
      <c r="AW33" s="576"/>
      <c r="AX33" s="576"/>
      <c r="AY33" s="576"/>
      <c r="AZ33" s="576"/>
      <c r="BA33" s="576"/>
      <c r="BB33" s="576"/>
      <c r="BC33" s="576"/>
      <c r="BD33" s="576"/>
      <c r="BE33" s="576"/>
      <c r="BF33" s="576"/>
      <c r="BG33" s="576"/>
      <c r="BH33" s="576"/>
      <c r="BI33" s="576"/>
      <c r="BJ33" s="87"/>
    </row>
    <row r="34" spans="1:62" ht="13.5" customHeight="1" thickBot="1">
      <c r="A34" s="95"/>
      <c r="B34" s="591" t="s">
        <v>210</v>
      </c>
      <c r="C34" s="591"/>
      <c r="D34" s="242"/>
      <c r="E34" s="592" t="s">
        <v>244</v>
      </c>
      <c r="F34" s="593"/>
      <c r="G34" s="593"/>
      <c r="H34" s="593"/>
      <c r="I34" s="593"/>
      <c r="J34" s="95"/>
      <c r="K34" s="583"/>
      <c r="L34" s="584"/>
      <c r="M34" s="584"/>
      <c r="N34" s="585"/>
      <c r="O34" s="95"/>
      <c r="P34" s="583"/>
      <c r="Q34" s="584"/>
      <c r="R34" s="584"/>
      <c r="S34" s="585"/>
      <c r="T34" s="95"/>
      <c r="U34" s="583"/>
      <c r="V34" s="584"/>
      <c r="W34" s="584"/>
      <c r="X34" s="585"/>
      <c r="Y34" s="95"/>
      <c r="Z34" s="588">
        <f>IF(SUM(K34,P34,U34)&gt;0,SUM(K34,P34,U34),0)</f>
        <v>0</v>
      </c>
      <c r="AA34" s="589"/>
      <c r="AB34" s="589"/>
      <c r="AC34" s="590"/>
      <c r="AD34" s="95"/>
      <c r="AF34" s="87"/>
      <c r="AG34" s="627"/>
      <c r="AH34" s="627"/>
      <c r="AI34" s="627"/>
      <c r="AJ34" s="627"/>
      <c r="AK34" s="627"/>
      <c r="AL34" s="627"/>
      <c r="AM34" s="627"/>
      <c r="AN34" s="627"/>
      <c r="AO34" s="627"/>
      <c r="AP34" s="628"/>
      <c r="AQ34" s="575"/>
      <c r="AR34" s="576"/>
      <c r="AS34" s="576"/>
      <c r="AT34" s="576"/>
      <c r="AU34" s="576"/>
      <c r="AV34" s="576"/>
      <c r="AW34" s="576"/>
      <c r="AX34" s="576"/>
      <c r="AY34" s="576"/>
      <c r="AZ34" s="576"/>
      <c r="BA34" s="576"/>
      <c r="BB34" s="576"/>
      <c r="BC34" s="576"/>
      <c r="BD34" s="576"/>
      <c r="BE34" s="576"/>
      <c r="BF34" s="576"/>
      <c r="BG34" s="576"/>
      <c r="BH34" s="576"/>
      <c r="BI34" s="576"/>
      <c r="BJ34" s="87"/>
    </row>
    <row r="35" spans="1:62" ht="4.5" customHeight="1">
      <c r="A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I35" s="87"/>
      <c r="BJ35" s="87"/>
    </row>
    <row r="36" spans="1:62" ht="13.5" thickBot="1">
      <c r="A36" s="95"/>
      <c r="B36" s="594" t="s">
        <v>361</v>
      </c>
      <c r="C36" s="594"/>
      <c r="D36" s="594"/>
      <c r="E36" s="594"/>
      <c r="F36" s="594"/>
      <c r="G36" s="594"/>
      <c r="H36" s="594"/>
      <c r="I36" s="594"/>
      <c r="J36" s="95"/>
      <c r="K36" s="588">
        <f>IF(SUM(K26,K28,K30,K32,K34)&gt;0,SUM(K26,K28,K30,K32,K34),0)</f>
        <v>0</v>
      </c>
      <c r="L36" s="589"/>
      <c r="M36" s="589"/>
      <c r="N36" s="590"/>
      <c r="O36" s="247"/>
      <c r="P36" s="588">
        <f>IF(SUM(P26,P28,P30,P32,P34)&gt;0,SUM(P26,P28,P30,P32,P34),0)</f>
        <v>0</v>
      </c>
      <c r="Q36" s="589"/>
      <c r="R36" s="589"/>
      <c r="S36" s="590"/>
      <c r="T36" s="247"/>
      <c r="U36" s="588">
        <f>IF(SUM(U26,U28,U30,U32,U34)&gt;0,SUM(U26,U28,U30,U32,U34),0)</f>
        <v>0</v>
      </c>
      <c r="V36" s="589"/>
      <c r="W36" s="589"/>
      <c r="X36" s="590"/>
      <c r="Y36" s="247"/>
      <c r="Z36" s="588">
        <f>IF(SUM(Z26,Z28,Z30,Z32,Z34)&gt;0,SUM(Z26,Z28,Z30,Z32,Z34),0)</f>
        <v>0</v>
      </c>
      <c r="AA36" s="589"/>
      <c r="AB36" s="589"/>
      <c r="AC36" s="590"/>
      <c r="AD36" s="95"/>
      <c r="AF36" s="87"/>
      <c r="AG36" s="586" t="s">
        <v>283</v>
      </c>
      <c r="AH36" s="586"/>
      <c r="AI36" s="586"/>
      <c r="AJ36" s="586"/>
      <c r="AK36" s="586"/>
      <c r="AL36" s="586"/>
      <c r="AM36" s="586"/>
      <c r="AN36" s="586"/>
      <c r="AO36" s="586"/>
      <c r="AP36" s="587"/>
      <c r="AQ36" s="575" t="str">
        <f>IF(Controlli!D5=1,Controlli!A5,IF(Controlli!D22=1,Controlli!A22,IF(Controlli!D33=1,Controlli!A33,IF(Controlli!D47=1,Controlli!A47,IF(Controlli!D57=1,Controlli!A57,"Nessuna segnalazione")))))</f>
        <v>Nessuna segnalazione</v>
      </c>
      <c r="AR36" s="576"/>
      <c r="AS36" s="576"/>
      <c r="AT36" s="576"/>
      <c r="AU36" s="576"/>
      <c r="AV36" s="576"/>
      <c r="AW36" s="576"/>
      <c r="AX36" s="576"/>
      <c r="AY36" s="576"/>
      <c r="AZ36" s="576"/>
      <c r="BA36" s="576"/>
      <c r="BB36" s="576"/>
      <c r="BC36" s="576"/>
      <c r="BD36" s="576"/>
      <c r="BE36" s="576"/>
      <c r="BF36" s="576"/>
      <c r="BG36" s="576"/>
      <c r="BH36" s="576"/>
      <c r="BI36" s="576"/>
      <c r="BJ36" s="87"/>
    </row>
    <row r="37" spans="1:62" ht="4.5" customHeight="1">
      <c r="A37" s="95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F37" s="87"/>
      <c r="AG37" s="586"/>
      <c r="AH37" s="586"/>
      <c r="AI37" s="586"/>
      <c r="AJ37" s="586"/>
      <c r="AK37" s="586"/>
      <c r="AL37" s="586"/>
      <c r="AM37" s="586"/>
      <c r="AN37" s="586"/>
      <c r="AO37" s="586"/>
      <c r="AP37" s="587"/>
      <c r="AQ37" s="575"/>
      <c r="AR37" s="576"/>
      <c r="AS37" s="576"/>
      <c r="AT37" s="576"/>
      <c r="AU37" s="576"/>
      <c r="AV37" s="576"/>
      <c r="AW37" s="576"/>
      <c r="AX37" s="576"/>
      <c r="AY37" s="576"/>
      <c r="AZ37" s="576"/>
      <c r="BA37" s="576"/>
      <c r="BB37" s="576"/>
      <c r="BC37" s="576"/>
      <c r="BD37" s="576"/>
      <c r="BE37" s="576"/>
      <c r="BF37" s="576"/>
      <c r="BG37" s="576"/>
      <c r="BH37" s="576"/>
      <c r="BI37" s="576"/>
      <c r="BJ37" s="87"/>
    </row>
    <row r="38" spans="1:62" ht="12.75" customHeight="1">
      <c r="A38" s="95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F38" s="87"/>
      <c r="AG38" s="586"/>
      <c r="AH38" s="586"/>
      <c r="AI38" s="586"/>
      <c r="AJ38" s="586"/>
      <c r="AK38" s="586"/>
      <c r="AL38" s="586"/>
      <c r="AM38" s="586"/>
      <c r="AN38" s="586"/>
      <c r="AO38" s="586"/>
      <c r="AP38" s="587"/>
      <c r="AQ38" s="575"/>
      <c r="AR38" s="576"/>
      <c r="AS38" s="576"/>
      <c r="AT38" s="576"/>
      <c r="AU38" s="576"/>
      <c r="AV38" s="576"/>
      <c r="AW38" s="576"/>
      <c r="AX38" s="576"/>
      <c r="AY38" s="576"/>
      <c r="AZ38" s="576"/>
      <c r="BA38" s="576"/>
      <c r="BB38" s="576"/>
      <c r="BC38" s="576"/>
      <c r="BD38" s="576"/>
      <c r="BE38" s="576"/>
      <c r="BF38" s="576"/>
      <c r="BG38" s="576"/>
      <c r="BH38" s="576"/>
      <c r="BI38" s="576"/>
      <c r="BJ38" s="87"/>
    </row>
    <row r="39" spans="32:62" ht="4.5" customHeight="1">
      <c r="AF39" s="87"/>
      <c r="AG39" s="125"/>
      <c r="AH39" s="125"/>
      <c r="AI39" s="125"/>
      <c r="AJ39" s="125"/>
      <c r="AK39" s="125"/>
      <c r="AL39" s="125"/>
      <c r="AM39" s="125"/>
      <c r="AN39" s="125"/>
      <c r="AO39" s="125"/>
      <c r="AP39" s="125"/>
      <c r="AQ39" s="87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7"/>
      <c r="BD39" s="87"/>
      <c r="BE39" s="87"/>
      <c r="BF39" s="87"/>
      <c r="BG39" s="87"/>
      <c r="BH39" s="87"/>
      <c r="BI39" s="87"/>
      <c r="BJ39" s="87"/>
    </row>
    <row r="40" spans="32:62" ht="13.5" customHeight="1">
      <c r="AF40" s="87"/>
      <c r="AG40" s="586" t="s">
        <v>284</v>
      </c>
      <c r="AH40" s="586"/>
      <c r="AI40" s="586"/>
      <c r="AJ40" s="586"/>
      <c r="AK40" s="586"/>
      <c r="AL40" s="586"/>
      <c r="AM40" s="586"/>
      <c r="AN40" s="586"/>
      <c r="AO40" s="586"/>
      <c r="AP40" s="587"/>
      <c r="AQ40" s="575" t="str">
        <f>IF(Controlli!D7=1,Controlli!A7,IF(Controlli!D24=1,Controlli!A24,IF(Controlli!D35=1,Controlli!A35,IF(Controlli!D49=1,Controlli!A49,"Nessuna segnalazione"))))</f>
        <v>Nessuna segnalazione</v>
      </c>
      <c r="AR40" s="576"/>
      <c r="AS40" s="576"/>
      <c r="AT40" s="576"/>
      <c r="AU40" s="576"/>
      <c r="AV40" s="576"/>
      <c r="AW40" s="576"/>
      <c r="AX40" s="576"/>
      <c r="AY40" s="576"/>
      <c r="AZ40" s="576"/>
      <c r="BA40" s="576"/>
      <c r="BB40" s="576"/>
      <c r="BC40" s="576"/>
      <c r="BD40" s="576"/>
      <c r="BE40" s="576"/>
      <c r="BF40" s="576"/>
      <c r="BG40" s="576"/>
      <c r="BH40" s="576"/>
      <c r="BI40" s="576"/>
      <c r="BJ40" s="87"/>
    </row>
    <row r="41" spans="1:92" s="117" customFormat="1" ht="4.5" customHeight="1">
      <c r="A41" s="219"/>
      <c r="B41" s="574"/>
      <c r="C41" s="574"/>
      <c r="D41" s="574"/>
      <c r="E41" s="574"/>
      <c r="F41" s="574"/>
      <c r="G41" s="574"/>
      <c r="H41" s="574"/>
      <c r="I41" s="574"/>
      <c r="J41" s="574"/>
      <c r="K41" s="574"/>
      <c r="L41" s="574"/>
      <c r="M41" s="574"/>
      <c r="N41" s="574"/>
      <c r="O41" s="574"/>
      <c r="P41" s="574"/>
      <c r="Q41" s="574"/>
      <c r="R41" s="574"/>
      <c r="S41" s="221"/>
      <c r="T41" s="221"/>
      <c r="U41" s="219"/>
      <c r="V41" s="219"/>
      <c r="W41" s="219"/>
      <c r="X41" s="219"/>
      <c r="Y41" s="219"/>
      <c r="Z41" s="219"/>
      <c r="AA41" s="219"/>
      <c r="AB41" s="219"/>
      <c r="AC41" s="219"/>
      <c r="AD41" s="219"/>
      <c r="AE41" s="219"/>
      <c r="AF41" s="87"/>
      <c r="AG41" s="586"/>
      <c r="AH41" s="586"/>
      <c r="AI41" s="586"/>
      <c r="AJ41" s="586"/>
      <c r="AK41" s="586"/>
      <c r="AL41" s="586"/>
      <c r="AM41" s="586"/>
      <c r="AN41" s="586"/>
      <c r="AO41" s="586"/>
      <c r="AP41" s="587"/>
      <c r="AQ41" s="575"/>
      <c r="AR41" s="576"/>
      <c r="AS41" s="576"/>
      <c r="AT41" s="576"/>
      <c r="AU41" s="576"/>
      <c r="AV41" s="576"/>
      <c r="AW41" s="576"/>
      <c r="AX41" s="576"/>
      <c r="AY41" s="576"/>
      <c r="AZ41" s="576"/>
      <c r="BA41" s="576"/>
      <c r="BB41" s="576"/>
      <c r="BC41" s="576"/>
      <c r="BD41" s="576"/>
      <c r="BE41" s="576"/>
      <c r="BF41" s="576"/>
      <c r="BG41" s="576"/>
      <c r="BH41" s="576"/>
      <c r="BI41" s="576"/>
      <c r="BJ41" s="87"/>
      <c r="CN41" s="219"/>
    </row>
    <row r="42" spans="1:92" s="117" customFormat="1" ht="12.75" customHeight="1">
      <c r="A42" s="219"/>
      <c r="B42" s="219"/>
      <c r="C42" s="219"/>
      <c r="D42" s="219"/>
      <c r="E42" s="219"/>
      <c r="F42" s="219"/>
      <c r="G42" s="219"/>
      <c r="H42" s="219"/>
      <c r="I42" s="219"/>
      <c r="J42" s="219"/>
      <c r="K42" s="219"/>
      <c r="L42" s="219"/>
      <c r="M42" s="219"/>
      <c r="N42" s="219"/>
      <c r="O42" s="219"/>
      <c r="P42" s="219"/>
      <c r="Q42" s="219"/>
      <c r="R42" s="219"/>
      <c r="S42" s="219"/>
      <c r="T42" s="219"/>
      <c r="U42" s="219"/>
      <c r="V42" s="219"/>
      <c r="W42" s="219"/>
      <c r="X42" s="219"/>
      <c r="Y42" s="219"/>
      <c r="Z42" s="219"/>
      <c r="AA42" s="219"/>
      <c r="AB42" s="219"/>
      <c r="AC42" s="219"/>
      <c r="AD42" s="219"/>
      <c r="AE42" s="219"/>
      <c r="AF42" s="87"/>
      <c r="AG42" s="586"/>
      <c r="AH42" s="586"/>
      <c r="AI42" s="586"/>
      <c r="AJ42" s="586"/>
      <c r="AK42" s="586"/>
      <c r="AL42" s="586"/>
      <c r="AM42" s="586"/>
      <c r="AN42" s="586"/>
      <c r="AO42" s="586"/>
      <c r="AP42" s="587"/>
      <c r="AQ42" s="575"/>
      <c r="AR42" s="576"/>
      <c r="AS42" s="576"/>
      <c r="AT42" s="576"/>
      <c r="AU42" s="576"/>
      <c r="AV42" s="576"/>
      <c r="AW42" s="576"/>
      <c r="AX42" s="576"/>
      <c r="AY42" s="576"/>
      <c r="AZ42" s="576"/>
      <c r="BA42" s="576"/>
      <c r="BB42" s="576"/>
      <c r="BC42" s="576"/>
      <c r="BD42" s="576"/>
      <c r="BE42" s="576"/>
      <c r="BF42" s="576"/>
      <c r="BG42" s="576"/>
      <c r="BH42" s="576"/>
      <c r="BI42" s="576"/>
      <c r="BJ42" s="87"/>
      <c r="CN42" s="219"/>
    </row>
    <row r="43" spans="32:62" ht="4.5" customHeight="1">
      <c r="AF43" s="87"/>
      <c r="AG43" s="125"/>
      <c r="AH43" s="125"/>
      <c r="AI43" s="125"/>
      <c r="AJ43" s="125"/>
      <c r="AK43" s="125"/>
      <c r="AL43" s="125"/>
      <c r="AM43" s="125"/>
      <c r="AN43" s="125"/>
      <c r="AO43" s="125"/>
      <c r="AP43" s="125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87"/>
      <c r="BB43" s="87"/>
      <c r="BC43" s="87"/>
      <c r="BD43" s="87"/>
      <c r="BE43" s="87"/>
      <c r="BF43" s="87"/>
      <c r="BG43" s="87"/>
      <c r="BH43" s="87"/>
      <c r="BI43" s="87"/>
      <c r="BJ43" s="87"/>
    </row>
    <row r="44" spans="32:62" ht="12.75" customHeight="1">
      <c r="AF44" s="87"/>
      <c r="AG44" s="586" t="s">
        <v>297</v>
      </c>
      <c r="AH44" s="586"/>
      <c r="AI44" s="586"/>
      <c r="AJ44" s="586"/>
      <c r="AK44" s="586"/>
      <c r="AL44" s="586"/>
      <c r="AM44" s="586"/>
      <c r="AN44" s="586"/>
      <c r="AO44" s="586"/>
      <c r="AP44" s="587"/>
      <c r="AQ44" s="575" t="str">
        <f>IF(Controlli!D9=1,Controlli!A9,IF(Controlli!D26=1,Controlli!A26,IF(Controlli!D38=1,Controlli!A38,IF(Controlli!D40=1,Controlli!A40,"Nessuna segnalazione"))))</f>
        <v>Nessuna segnalazione</v>
      </c>
      <c r="AR44" s="576"/>
      <c r="AS44" s="576"/>
      <c r="AT44" s="576"/>
      <c r="AU44" s="576"/>
      <c r="AV44" s="576"/>
      <c r="AW44" s="576"/>
      <c r="AX44" s="576"/>
      <c r="AY44" s="576"/>
      <c r="AZ44" s="576"/>
      <c r="BA44" s="576"/>
      <c r="BB44" s="576"/>
      <c r="BC44" s="576"/>
      <c r="BD44" s="576"/>
      <c r="BE44" s="576"/>
      <c r="BF44" s="576"/>
      <c r="BG44" s="576"/>
      <c r="BH44" s="576"/>
      <c r="BI44" s="576"/>
      <c r="BJ44" s="87"/>
    </row>
    <row r="45" spans="32:62" ht="4.5" customHeight="1">
      <c r="AF45" s="87"/>
      <c r="AG45" s="586"/>
      <c r="AH45" s="586"/>
      <c r="AI45" s="586"/>
      <c r="AJ45" s="586"/>
      <c r="AK45" s="586"/>
      <c r="AL45" s="586"/>
      <c r="AM45" s="586"/>
      <c r="AN45" s="586"/>
      <c r="AO45" s="586"/>
      <c r="AP45" s="587"/>
      <c r="AQ45" s="575"/>
      <c r="AR45" s="576"/>
      <c r="AS45" s="576"/>
      <c r="AT45" s="576"/>
      <c r="AU45" s="576"/>
      <c r="AV45" s="576"/>
      <c r="AW45" s="576"/>
      <c r="AX45" s="576"/>
      <c r="AY45" s="576"/>
      <c r="AZ45" s="576"/>
      <c r="BA45" s="576"/>
      <c r="BB45" s="576"/>
      <c r="BC45" s="576"/>
      <c r="BD45" s="576"/>
      <c r="BE45" s="576"/>
      <c r="BF45" s="576"/>
      <c r="BG45" s="576"/>
      <c r="BH45" s="576"/>
      <c r="BI45" s="576"/>
      <c r="BJ45" s="87"/>
    </row>
    <row r="46" spans="32:62" ht="12.75">
      <c r="AF46" s="87"/>
      <c r="AG46" s="586"/>
      <c r="AH46" s="586"/>
      <c r="AI46" s="586"/>
      <c r="AJ46" s="586"/>
      <c r="AK46" s="586"/>
      <c r="AL46" s="586"/>
      <c r="AM46" s="586"/>
      <c r="AN46" s="586"/>
      <c r="AO46" s="586"/>
      <c r="AP46" s="587"/>
      <c r="AQ46" s="575"/>
      <c r="AR46" s="576"/>
      <c r="AS46" s="576"/>
      <c r="AT46" s="576"/>
      <c r="AU46" s="576"/>
      <c r="AV46" s="576"/>
      <c r="AW46" s="576"/>
      <c r="AX46" s="576"/>
      <c r="AY46" s="576"/>
      <c r="AZ46" s="576"/>
      <c r="BA46" s="576"/>
      <c r="BB46" s="576"/>
      <c r="BC46" s="576"/>
      <c r="BD46" s="576"/>
      <c r="BE46" s="576"/>
      <c r="BF46" s="576"/>
      <c r="BG46" s="576"/>
      <c r="BH46" s="576"/>
      <c r="BI46" s="576"/>
      <c r="BJ46" s="87"/>
    </row>
    <row r="47" spans="32:62" ht="4.5" customHeight="1">
      <c r="AF47" s="87"/>
      <c r="AG47" s="125"/>
      <c r="AH47" s="125"/>
      <c r="AI47" s="125"/>
      <c r="AJ47" s="125"/>
      <c r="AK47" s="125"/>
      <c r="AL47" s="125"/>
      <c r="AM47" s="125"/>
      <c r="AN47" s="125"/>
      <c r="AO47" s="125"/>
      <c r="AP47" s="125"/>
      <c r="AQ47" s="87"/>
      <c r="AR47" s="87"/>
      <c r="AS47" s="87"/>
      <c r="AT47" s="87"/>
      <c r="AU47" s="87"/>
      <c r="AV47" s="87"/>
      <c r="AW47" s="87"/>
      <c r="AX47" s="87"/>
      <c r="AY47" s="87"/>
      <c r="AZ47" s="87"/>
      <c r="BA47" s="87"/>
      <c r="BB47" s="87"/>
      <c r="BC47" s="87"/>
      <c r="BD47" s="87"/>
      <c r="BE47" s="87"/>
      <c r="BF47" s="87"/>
      <c r="BG47" s="87"/>
      <c r="BH47" s="87"/>
      <c r="BI47" s="87"/>
      <c r="BJ47" s="87"/>
    </row>
    <row r="48" spans="32:62" ht="12.75" customHeight="1">
      <c r="AF48" s="87"/>
      <c r="AG48" s="401"/>
      <c r="AH48" s="401"/>
      <c r="AI48" s="87"/>
      <c r="AJ48" s="87"/>
      <c r="AK48" s="87"/>
      <c r="AL48" s="87"/>
      <c r="AM48" s="87"/>
      <c r="AN48" s="87"/>
      <c r="AO48" s="87"/>
      <c r="AP48" s="87"/>
      <c r="AQ48" s="87"/>
      <c r="AR48" s="87"/>
      <c r="AS48" s="87"/>
      <c r="AT48" s="87"/>
      <c r="AU48" s="87"/>
      <c r="AV48" s="87"/>
      <c r="AW48" s="87"/>
      <c r="AX48" s="87"/>
      <c r="AY48" s="87"/>
      <c r="AZ48" s="87"/>
      <c r="BA48" s="87"/>
      <c r="BB48" s="87"/>
      <c r="BC48" s="87"/>
      <c r="BD48" s="87"/>
      <c r="BE48" s="87"/>
      <c r="BF48" s="87"/>
      <c r="BG48" s="87"/>
      <c r="BH48" s="87"/>
      <c r="BI48" s="87"/>
      <c r="BJ48" s="87"/>
    </row>
    <row r="49" ht="4.5" customHeight="1"/>
    <row r="51" ht="4.5" customHeight="1"/>
    <row r="53" ht="4.5" customHeight="1"/>
    <row r="54" ht="12.75" customHeight="1"/>
    <row r="55" ht="4.5" customHeight="1"/>
    <row r="57" ht="4.5" customHeight="1"/>
  </sheetData>
  <sheetProtection sheet="1" objects="1" scenarios="1" selectLockedCells="1"/>
  <mergeCells count="119">
    <mergeCell ref="AQ44:BI46"/>
    <mergeCell ref="AW20:AY20"/>
    <mergeCell ref="AW22:AY22"/>
    <mergeCell ref="AW28:AY28"/>
    <mergeCell ref="AR24:AU24"/>
    <mergeCell ref="AW24:AY24"/>
    <mergeCell ref="AR22:AU22"/>
    <mergeCell ref="AR28:AU28"/>
    <mergeCell ref="AW26:AY26"/>
    <mergeCell ref="AQ36:BI38"/>
    <mergeCell ref="BA14:BC14"/>
    <mergeCell ref="AQ40:BI42"/>
    <mergeCell ref="AW16:AY16"/>
    <mergeCell ref="BE7:BG8"/>
    <mergeCell ref="BE10:BG10"/>
    <mergeCell ref="BE12:BG12"/>
    <mergeCell ref="BE14:BG14"/>
    <mergeCell ref="BI7:BI8"/>
    <mergeCell ref="Z28:AC28"/>
    <mergeCell ref="Z30:AC30"/>
    <mergeCell ref="Z32:AC32"/>
    <mergeCell ref="AG32:AP34"/>
    <mergeCell ref="K24:N24"/>
    <mergeCell ref="BA18:BC18"/>
    <mergeCell ref="AW18:AY18"/>
    <mergeCell ref="U24:X24"/>
    <mergeCell ref="U30:X30"/>
    <mergeCell ref="Z34:AC34"/>
    <mergeCell ref="E24:I24"/>
    <mergeCell ref="K26:N26"/>
    <mergeCell ref="E32:I32"/>
    <mergeCell ref="U26:X26"/>
    <mergeCell ref="P24:T24"/>
    <mergeCell ref="P26:S26"/>
    <mergeCell ref="P28:S28"/>
    <mergeCell ref="P30:S30"/>
    <mergeCell ref="P32:S32"/>
    <mergeCell ref="U32:X32"/>
    <mergeCell ref="B26:C26"/>
    <mergeCell ref="B28:C28"/>
    <mergeCell ref="B30:C30"/>
    <mergeCell ref="E28:I28"/>
    <mergeCell ref="E30:I30"/>
    <mergeCell ref="E26:I26"/>
    <mergeCell ref="Z7:AC8"/>
    <mergeCell ref="U10:X10"/>
    <mergeCell ref="Z10:AC10"/>
    <mergeCell ref="U8:X8"/>
    <mergeCell ref="K7:X7"/>
    <mergeCell ref="K8:N8"/>
    <mergeCell ref="P10:S10"/>
    <mergeCell ref="B5:Q5"/>
    <mergeCell ref="B10:I10"/>
    <mergeCell ref="B14:I14"/>
    <mergeCell ref="K14:N14"/>
    <mergeCell ref="P12:S12"/>
    <mergeCell ref="P14:S14"/>
    <mergeCell ref="K10:N10"/>
    <mergeCell ref="P8:T8"/>
    <mergeCell ref="B7:I8"/>
    <mergeCell ref="B12:I12"/>
    <mergeCell ref="K16:N16"/>
    <mergeCell ref="B20:U20"/>
    <mergeCell ref="B16:I16"/>
    <mergeCell ref="K12:N12"/>
    <mergeCell ref="U12:X12"/>
    <mergeCell ref="U14:X14"/>
    <mergeCell ref="P16:S16"/>
    <mergeCell ref="U16:X16"/>
    <mergeCell ref="AG7:AP8"/>
    <mergeCell ref="AG10:AP10"/>
    <mergeCell ref="Z16:AC16"/>
    <mergeCell ref="AR18:AU18"/>
    <mergeCell ref="Z14:AC14"/>
    <mergeCell ref="AR20:AU20"/>
    <mergeCell ref="AG18:AP18"/>
    <mergeCell ref="AG14:AP14"/>
    <mergeCell ref="AG20:AJ24"/>
    <mergeCell ref="Z12:AC12"/>
    <mergeCell ref="K32:N32"/>
    <mergeCell ref="Z26:AC26"/>
    <mergeCell ref="Z22:AC24"/>
    <mergeCell ref="AG5:AY5"/>
    <mergeCell ref="BA7:BC8"/>
    <mergeCell ref="BA10:BC10"/>
    <mergeCell ref="AR7:AU8"/>
    <mergeCell ref="AW10:AY10"/>
    <mergeCell ref="AW7:AY8"/>
    <mergeCell ref="AR10:AU10"/>
    <mergeCell ref="K36:N36"/>
    <mergeCell ref="K34:N34"/>
    <mergeCell ref="P34:S34"/>
    <mergeCell ref="B22:I23"/>
    <mergeCell ref="K22:X23"/>
    <mergeCell ref="AG36:AP38"/>
    <mergeCell ref="U28:X28"/>
    <mergeCell ref="B32:C32"/>
    <mergeCell ref="K28:N28"/>
    <mergeCell ref="K30:N30"/>
    <mergeCell ref="U34:X34"/>
    <mergeCell ref="AG40:AP42"/>
    <mergeCell ref="U36:X36"/>
    <mergeCell ref="AG44:AP46"/>
    <mergeCell ref="B41:R41"/>
    <mergeCell ref="Z36:AC36"/>
    <mergeCell ref="P36:S36"/>
    <mergeCell ref="B34:C34"/>
    <mergeCell ref="E34:I34"/>
    <mergeCell ref="B36:I36"/>
    <mergeCell ref="AG12:AP12"/>
    <mergeCell ref="AQ32:BI34"/>
    <mergeCell ref="BA16:BC16"/>
    <mergeCell ref="BE16:BG16"/>
    <mergeCell ref="AW14:AY14"/>
    <mergeCell ref="AR14:AU14"/>
    <mergeCell ref="AW12:AY12"/>
    <mergeCell ref="AR12:AU12"/>
    <mergeCell ref="BE18:BG18"/>
    <mergeCell ref="BA12:BC12"/>
  </mergeCells>
  <conditionalFormatting sqref="AQ35:BG35">
    <cfRule type="cellIs" priority="1" dxfId="0" operator="equal" stopIfTrue="1">
      <formula>"Nessuna segnalazione"</formula>
    </cfRule>
  </conditionalFormatting>
  <dataValidations count="1">
    <dataValidation type="list" showInputMessage="1" showErrorMessage="1" prompt="SI/NO" sqref="BI10">
      <formula1>$BJ$1:$BJ$2</formula1>
    </dataValidation>
  </dataValidations>
  <printOptions/>
  <pageMargins left="0.75" right="0.75" top="1" bottom="1" header="0.5" footer="0.5"/>
  <pageSetup fitToHeight="1" fitToWidth="1" horizontalDpi="300" verticalDpi="300" orientation="landscape" paperSize="9" scale="49" r:id="rId5"/>
  <drawing r:id="rId4"/>
  <legacyDrawing r:id="rId3"/>
  <oleObjects>
    <oleObject progId="Word.Picture.8" shapeId="2125173" r:id="rId2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BH65"/>
  <sheetViews>
    <sheetView showGridLines="0" zoomScalePageLayoutView="0" workbookViewId="0" topLeftCell="F1">
      <selection activeCell="I11" sqref="I11"/>
    </sheetView>
  </sheetViews>
  <sheetFormatPr defaultColWidth="6.00390625" defaultRowHeight="12.75"/>
  <cols>
    <col min="1" max="1" width="11.28125" style="0" hidden="1" customWidth="1"/>
    <col min="2" max="2" width="13.7109375" style="0" hidden="1" customWidth="1"/>
    <col min="3" max="3" width="12.57421875" style="0" hidden="1" customWidth="1"/>
    <col min="4" max="4" width="8.00390625" style="0" hidden="1" customWidth="1"/>
    <col min="5" max="5" width="8.7109375" style="0" hidden="1" customWidth="1"/>
    <col min="6" max="6" width="4.00390625" style="0" customWidth="1"/>
    <col min="7" max="7" width="40.28125" style="0" customWidth="1"/>
    <col min="8" max="8" width="2.00390625" style="231" customWidth="1"/>
    <col min="9" max="9" width="11.140625" style="8" customWidth="1"/>
    <col min="10" max="10" width="2.00390625" style="272" customWidth="1"/>
    <col min="11" max="11" width="11.140625" style="8" customWidth="1"/>
    <col min="12" max="12" width="2.00390625" style="219" customWidth="1"/>
    <col min="13" max="13" width="11.140625" style="10" customWidth="1"/>
    <col min="14" max="14" width="2.00390625" style="219" customWidth="1"/>
    <col min="15" max="15" width="32.7109375" style="219" customWidth="1"/>
    <col min="16" max="16" width="1.7109375" style="219" customWidth="1"/>
    <col min="17" max="17" width="12.140625" style="219" customWidth="1"/>
    <col min="18" max="18" width="1.421875" style="219" customWidth="1"/>
    <col min="19" max="19" width="9.57421875" style="219" customWidth="1"/>
    <col min="20" max="20" width="2.00390625" style="219" customWidth="1"/>
    <col min="21" max="24" width="6.00390625" style="219" customWidth="1"/>
  </cols>
  <sheetData>
    <row r="1" spans="1:60" s="338" customFormat="1" ht="31.5" customHeight="1">
      <c r="A1" s="252"/>
      <c r="B1" s="252"/>
      <c r="C1" s="252"/>
      <c r="D1" s="252"/>
      <c r="E1" s="252"/>
      <c r="F1" s="252"/>
      <c r="G1" s="252"/>
      <c r="J1" s="367"/>
      <c r="L1" s="397" t="s">
        <v>251</v>
      </c>
      <c r="M1" s="252"/>
      <c r="N1" s="252"/>
      <c r="O1" s="252"/>
      <c r="P1" s="252"/>
      <c r="Q1" s="252"/>
      <c r="R1" s="252"/>
      <c r="S1" s="252"/>
      <c r="T1" s="252"/>
      <c r="U1" s="368"/>
      <c r="V1" s="368"/>
      <c r="W1" s="368"/>
      <c r="X1" s="368"/>
      <c r="Y1" s="368"/>
      <c r="Z1" s="368"/>
      <c r="AA1" s="368"/>
      <c r="AB1" s="368"/>
      <c r="AC1" s="368"/>
      <c r="AD1" s="56"/>
      <c r="AE1" s="56"/>
      <c r="AF1" s="372"/>
      <c r="AG1" s="368"/>
      <c r="AH1" s="368"/>
      <c r="AI1" s="368"/>
      <c r="AJ1" s="368"/>
      <c r="AK1" s="368"/>
      <c r="AL1" s="368"/>
      <c r="AM1" s="368"/>
      <c r="AN1" s="368"/>
      <c r="AO1" s="368"/>
      <c r="AP1" s="368"/>
      <c r="AQ1" s="368"/>
      <c r="AR1" s="368"/>
      <c r="AS1" s="368"/>
      <c r="AT1" s="368"/>
      <c r="AU1" s="368"/>
      <c r="AV1" s="368"/>
      <c r="AW1" s="368"/>
      <c r="AX1" s="368"/>
      <c r="AY1" s="368"/>
      <c r="AZ1" s="252"/>
      <c r="BA1" s="252"/>
      <c r="BB1" s="252"/>
      <c r="BC1" s="252"/>
      <c r="BD1" s="252"/>
      <c r="BE1" s="252"/>
      <c r="BF1" s="252"/>
      <c r="BG1" s="252"/>
      <c r="BH1" s="252"/>
    </row>
    <row r="2" spans="1:60" s="338" customFormat="1" ht="7.5" customHeight="1">
      <c r="A2" s="252"/>
      <c r="B2" s="252"/>
      <c r="C2" s="252"/>
      <c r="D2" s="252"/>
      <c r="E2" s="252"/>
      <c r="F2" s="252"/>
      <c r="G2" s="252"/>
      <c r="H2" s="373"/>
      <c r="I2" s="373"/>
      <c r="J2" s="373"/>
      <c r="K2" s="252"/>
      <c r="L2" s="252"/>
      <c r="M2" s="252"/>
      <c r="N2" s="252"/>
      <c r="O2" s="252"/>
      <c r="P2" s="252"/>
      <c r="Q2" s="252"/>
      <c r="R2" s="252"/>
      <c r="S2" s="252"/>
      <c r="T2" s="368"/>
      <c r="U2" s="368"/>
      <c r="V2" s="368"/>
      <c r="W2" s="368"/>
      <c r="X2" s="368"/>
      <c r="Y2" s="368"/>
      <c r="Z2" s="368"/>
      <c r="AA2" s="368"/>
      <c r="AB2" s="252"/>
      <c r="AC2" s="252"/>
      <c r="AD2" s="56"/>
      <c r="AE2" s="56"/>
      <c r="AF2" s="252"/>
      <c r="AG2" s="368"/>
      <c r="AH2" s="368"/>
      <c r="AI2" s="368"/>
      <c r="AJ2" s="368"/>
      <c r="AK2" s="368"/>
      <c r="AL2" s="368"/>
      <c r="AM2" s="368"/>
      <c r="AN2" s="368"/>
      <c r="AO2" s="368"/>
      <c r="AP2" s="368"/>
      <c r="AQ2" s="368"/>
      <c r="AR2" s="368"/>
      <c r="AS2" s="368"/>
      <c r="AT2" s="368"/>
      <c r="AU2" s="368"/>
      <c r="AV2" s="368"/>
      <c r="AW2" s="368"/>
      <c r="AX2" s="368"/>
      <c r="AY2" s="368"/>
      <c r="AZ2" s="252"/>
      <c r="BA2" s="252"/>
      <c r="BB2" s="252"/>
      <c r="BC2" s="252"/>
      <c r="BD2" s="252"/>
      <c r="BE2" s="252"/>
      <c r="BF2" s="252"/>
      <c r="BG2" s="252"/>
      <c r="BH2" s="252"/>
    </row>
    <row r="3" spans="1:60" s="338" customFormat="1" ht="24.75" customHeight="1">
      <c r="A3" s="252"/>
      <c r="B3" s="252"/>
      <c r="C3" s="252"/>
      <c r="D3" s="252"/>
      <c r="E3" s="252"/>
      <c r="F3" s="252"/>
      <c r="G3" s="252"/>
      <c r="H3" s="375" t="s">
        <v>275</v>
      </c>
      <c r="I3" s="227" t="str">
        <f>Anagrafica!AF7&amp;" - "&amp;Anagrafica!AF13&amp;" - Anno "&amp;Anagrafica!W33</f>
        <v> -  - Anno </v>
      </c>
      <c r="J3" s="252"/>
      <c r="K3" s="252"/>
      <c r="M3" s="375"/>
      <c r="O3" s="252"/>
      <c r="P3" s="252"/>
      <c r="Q3" s="252"/>
      <c r="R3" s="252"/>
      <c r="S3" s="368"/>
      <c r="T3" s="368"/>
      <c r="U3" s="368"/>
      <c r="V3" s="368"/>
      <c r="W3" s="368"/>
      <c r="X3" s="368"/>
      <c r="Y3" s="368"/>
      <c r="Z3" s="368"/>
      <c r="AA3" s="368"/>
      <c r="AB3" s="252"/>
      <c r="AC3" s="252"/>
      <c r="AD3" s="56"/>
      <c r="AE3" s="56"/>
      <c r="AF3" s="252"/>
      <c r="AG3" s="368"/>
      <c r="AH3" s="368"/>
      <c r="AI3" s="368"/>
      <c r="AJ3" s="368"/>
      <c r="AK3" s="368"/>
      <c r="AL3" s="368"/>
      <c r="AM3" s="368"/>
      <c r="AN3" s="368"/>
      <c r="AO3" s="368"/>
      <c r="AP3" s="368"/>
      <c r="AQ3" s="368"/>
      <c r="AR3" s="368"/>
      <c r="AS3" s="368"/>
      <c r="AT3" s="368"/>
      <c r="AU3" s="368"/>
      <c r="AV3" s="368"/>
      <c r="AW3" s="368"/>
      <c r="AX3" s="368"/>
      <c r="AY3" s="368"/>
      <c r="AZ3" s="252"/>
      <c r="BA3" s="252"/>
      <c r="BB3" s="252"/>
      <c r="BC3" s="252"/>
      <c r="BD3" s="252"/>
      <c r="BE3" s="252"/>
      <c r="BF3" s="252"/>
      <c r="BG3" s="252"/>
      <c r="BH3" s="252"/>
    </row>
    <row r="4" spans="7:13" s="252" customFormat="1" ht="18" customHeight="1">
      <c r="G4" s="256" t="s">
        <v>229</v>
      </c>
      <c r="H4" s="257"/>
      <c r="I4" s="258"/>
      <c r="J4" s="258"/>
      <c r="K4" s="258"/>
      <c r="L4" s="258"/>
      <c r="M4" s="258"/>
    </row>
    <row r="5" spans="1:24" s="56" customFormat="1" ht="15.75">
      <c r="A5" s="445" t="s">
        <v>247</v>
      </c>
      <c r="B5" s="446"/>
      <c r="C5" s="447"/>
      <c r="G5" s="321" t="s">
        <v>169</v>
      </c>
      <c r="H5" s="259"/>
      <c r="I5" s="322" t="s">
        <v>181</v>
      </c>
      <c r="J5" s="264"/>
      <c r="K5" s="323" t="s">
        <v>421</v>
      </c>
      <c r="L5" s="259"/>
      <c r="M5" s="323" t="s">
        <v>182</v>
      </c>
      <c r="N5" s="252"/>
      <c r="O5" s="321" t="s">
        <v>422</v>
      </c>
      <c r="P5" s="252"/>
      <c r="Q5" s="648" t="s">
        <v>423</v>
      </c>
      <c r="R5" s="649"/>
      <c r="S5" s="252"/>
      <c r="T5" s="252"/>
      <c r="U5" s="252"/>
      <c r="V5" s="252"/>
      <c r="W5" s="252"/>
      <c r="X5" s="252"/>
    </row>
    <row r="6" spans="1:24" s="56" customFormat="1" ht="12.75">
      <c r="A6" s="448" t="s">
        <v>193</v>
      </c>
      <c r="B6" s="449"/>
      <c r="C6" s="450">
        <f>CostoLavoro!C21</f>
        <v>0</v>
      </c>
      <c r="G6" s="198" t="s">
        <v>178</v>
      </c>
      <c r="H6" s="259"/>
      <c r="I6" s="185">
        <f>'Redditi agricoli'!P35</f>
        <v>0</v>
      </c>
      <c r="J6" s="265"/>
      <c r="K6" s="176">
        <f>IF(I$13&gt;0,I6/I$13,0)</f>
        <v>0</v>
      </c>
      <c r="L6" s="259"/>
      <c r="M6" s="174">
        <f>I6/287</f>
        <v>0</v>
      </c>
      <c r="N6" s="252"/>
      <c r="O6" s="198" t="str">
        <f>Controlli!A62</f>
        <v>Vinificazione/Imbottigliamento</v>
      </c>
      <c r="P6" s="252"/>
      <c r="Q6" s="650">
        <f>Controlli!D62</f>
        <v>0</v>
      </c>
      <c r="R6" s="651"/>
      <c r="S6" s="252"/>
      <c r="T6" s="252"/>
      <c r="U6" s="252"/>
      <c r="V6" s="252"/>
      <c r="W6" s="252"/>
      <c r="X6" s="252"/>
    </row>
    <row r="7" spans="1:24" s="56" customFormat="1" ht="12.75">
      <c r="A7" s="451" t="s">
        <v>194</v>
      </c>
      <c r="B7" s="449"/>
      <c r="C7" s="450">
        <f>CostoLavoro!I23*Riepilogo!M15</f>
        <v>0</v>
      </c>
      <c r="G7" s="199" t="s">
        <v>179</v>
      </c>
      <c r="H7" s="259"/>
      <c r="I7" s="186">
        <f>'Redditi agricoli'!P61</f>
        <v>0</v>
      </c>
      <c r="J7" s="264"/>
      <c r="K7" s="177">
        <f aca="true" t="shared" si="0" ref="K7:K15">IF(I$13&gt;0,I7/I$13,0)</f>
        <v>0</v>
      </c>
      <c r="L7" s="259"/>
      <c r="M7" s="175">
        <f aca="true" t="shared" si="1" ref="M7:M15">I7/287</f>
        <v>0</v>
      </c>
      <c r="N7" s="252"/>
      <c r="O7" s="199" t="str">
        <f>Controlli!A63</f>
        <v>Lavorazione latte bovino</v>
      </c>
      <c r="P7" s="252"/>
      <c r="Q7" s="652">
        <f>Controlli!D63</f>
        <v>0</v>
      </c>
      <c r="R7" s="653"/>
      <c r="S7" s="252"/>
      <c r="T7" s="252"/>
      <c r="U7" s="252"/>
      <c r="V7" s="252"/>
      <c r="W7" s="252"/>
      <c r="X7" s="252"/>
    </row>
    <row r="8" spans="1:24" s="56" customFormat="1" ht="12.75">
      <c r="A8" s="492" t="s">
        <v>238</v>
      </c>
      <c r="B8" s="452">
        <f>I27-I25</f>
        <v>0</v>
      </c>
      <c r="C8" s="448">
        <f>IF(B8&gt;0,B8*0.09*((60000)/B8)^0.25,0)</f>
        <v>0</v>
      </c>
      <c r="G8" s="199" t="s">
        <v>360</v>
      </c>
      <c r="H8" s="259"/>
      <c r="I8" s="186">
        <f>'Redditi agricoli'!P73</f>
        <v>0</v>
      </c>
      <c r="J8" s="264"/>
      <c r="K8" s="177">
        <f t="shared" si="0"/>
        <v>0</v>
      </c>
      <c r="L8" s="259"/>
      <c r="M8" s="175">
        <f t="shared" si="1"/>
        <v>0</v>
      </c>
      <c r="N8" s="252"/>
      <c r="O8" s="199" t="str">
        <f>Controlli!A64</f>
        <v>Lavorazione latte ovicaprino</v>
      </c>
      <c r="P8" s="252"/>
      <c r="Q8" s="652">
        <f>Controlli!D64</f>
        <v>0</v>
      </c>
      <c r="R8" s="653"/>
      <c r="S8" s="252"/>
      <c r="T8" s="252"/>
      <c r="U8" s="252"/>
      <c r="V8" s="252"/>
      <c r="W8" s="252"/>
      <c r="X8" s="252"/>
    </row>
    <row r="9" spans="1:24" s="56" customFormat="1" ht="13.5" thickBot="1">
      <c r="A9" s="453" t="s">
        <v>195</v>
      </c>
      <c r="B9" s="449"/>
      <c r="C9" s="454">
        <f>'Redditi agricoli'!R35</f>
        <v>0</v>
      </c>
      <c r="G9" s="200" t="s">
        <v>144</v>
      </c>
      <c r="H9" s="259"/>
      <c r="I9" s="186">
        <f>'Redditi agricoli'!P82</f>
        <v>0</v>
      </c>
      <c r="J9" s="264"/>
      <c r="K9" s="177">
        <f t="shared" si="0"/>
        <v>0</v>
      </c>
      <c r="L9" s="259"/>
      <c r="M9" s="175">
        <f t="shared" si="1"/>
        <v>0</v>
      </c>
      <c r="N9" s="252"/>
      <c r="O9" s="326" t="str">
        <f>Controlli!A65</f>
        <v>Altre lavorazioni</v>
      </c>
      <c r="P9" s="252"/>
      <c r="Q9" s="636">
        <f>Controlli!D65</f>
        <v>0</v>
      </c>
      <c r="R9" s="637"/>
      <c r="S9" s="252"/>
      <c r="T9" s="252"/>
      <c r="U9" s="252"/>
      <c r="V9" s="252"/>
      <c r="W9" s="252"/>
      <c r="X9" s="252"/>
    </row>
    <row r="10" spans="1:24" s="56" customFormat="1" ht="12.75">
      <c r="A10" s="399"/>
      <c r="B10" s="398"/>
      <c r="C10" s="400"/>
      <c r="G10" s="297" t="s">
        <v>394</v>
      </c>
      <c r="H10" s="259"/>
      <c r="I10" s="186">
        <f>P78</f>
        <v>0</v>
      </c>
      <c r="J10" s="264"/>
      <c r="K10" s="177">
        <f t="shared" si="0"/>
        <v>0</v>
      </c>
      <c r="L10" s="259"/>
      <c r="M10" s="175">
        <f t="shared" si="1"/>
        <v>0</v>
      </c>
      <c r="N10" s="252"/>
      <c r="O10" s="252"/>
      <c r="P10" s="252"/>
      <c r="Q10" s="252"/>
      <c r="R10" s="252"/>
      <c r="S10" s="252"/>
      <c r="T10" s="252"/>
      <c r="U10" s="252"/>
      <c r="V10" s="252"/>
      <c r="W10" s="252"/>
      <c r="X10" s="252"/>
    </row>
    <row r="11" spans="7:18" ht="13.5" thickBot="1">
      <c r="G11" s="303" t="s">
        <v>395</v>
      </c>
      <c r="H11" s="260"/>
      <c r="I11" s="286"/>
      <c r="J11" s="266"/>
      <c r="K11" s="187">
        <f t="shared" si="0"/>
        <v>0</v>
      </c>
      <c r="L11" s="260"/>
      <c r="M11" s="188">
        <f t="shared" si="1"/>
        <v>0</v>
      </c>
      <c r="O11" s="189" t="s">
        <v>424</v>
      </c>
      <c r="Q11" s="638">
        <f>SUM(Q6:R9)</f>
        <v>0</v>
      </c>
      <c r="R11" s="639"/>
    </row>
    <row r="12" spans="8:13" ht="4.5" customHeight="1">
      <c r="H12" s="219"/>
      <c r="I12"/>
      <c r="J12" s="219"/>
      <c r="K12"/>
      <c r="M12"/>
    </row>
    <row r="13" spans="7:13" ht="13.5" thickBot="1">
      <c r="G13" s="189" t="s">
        <v>180</v>
      </c>
      <c r="H13" s="273"/>
      <c r="I13" s="190">
        <f>SUM(I6:I11)</f>
        <v>0</v>
      </c>
      <c r="J13" s="267"/>
      <c r="K13" s="191">
        <v>1</v>
      </c>
      <c r="L13" s="261"/>
      <c r="M13" s="192">
        <f t="shared" si="1"/>
        <v>0</v>
      </c>
    </row>
    <row r="14" spans="1:24" s="74" customFormat="1" ht="12.75" customHeight="1">
      <c r="A14"/>
      <c r="B14"/>
      <c r="C14"/>
      <c r="D14"/>
      <c r="E14"/>
      <c r="G14" s="274" t="s">
        <v>190</v>
      </c>
      <c r="H14" s="260"/>
      <c r="I14" s="276">
        <f>'Lavoro-Trasformazione'!Z16</f>
        <v>0</v>
      </c>
      <c r="J14" s="266"/>
      <c r="K14" s="277">
        <f t="shared" si="0"/>
        <v>0</v>
      </c>
      <c r="L14" s="260"/>
      <c r="M14" s="278">
        <f t="shared" si="1"/>
        <v>0</v>
      </c>
      <c r="N14" s="255"/>
      <c r="O14" s="325"/>
      <c r="X14" s="225"/>
    </row>
    <row r="15" spans="7:14" ht="12.75">
      <c r="G15" s="275" t="s">
        <v>191</v>
      </c>
      <c r="H15" s="262"/>
      <c r="I15" s="279">
        <f>I13-I14</f>
        <v>0</v>
      </c>
      <c r="J15" s="268"/>
      <c r="K15" s="280">
        <f t="shared" si="0"/>
        <v>0</v>
      </c>
      <c r="L15" s="262"/>
      <c r="M15" s="281">
        <f t="shared" si="1"/>
        <v>0</v>
      </c>
      <c r="N15" s="252"/>
    </row>
    <row r="16" spans="7:14" ht="3.75" customHeight="1">
      <c r="G16" s="56"/>
      <c r="H16" s="259"/>
      <c r="I16" s="57"/>
      <c r="J16" s="269"/>
      <c r="K16" s="57"/>
      <c r="L16" s="252"/>
      <c r="M16" s="58"/>
      <c r="N16" s="252"/>
    </row>
    <row r="17" spans="7:21" ht="15.75">
      <c r="G17" s="197" t="s">
        <v>183</v>
      </c>
      <c r="H17" s="259"/>
      <c r="I17" s="322" t="s">
        <v>239</v>
      </c>
      <c r="J17" s="269"/>
      <c r="K17" s="322" t="s">
        <v>374</v>
      </c>
      <c r="L17" s="252"/>
      <c r="M17" s="322" t="s">
        <v>375</v>
      </c>
      <c r="N17" s="252"/>
      <c r="O17" s="640" t="s">
        <v>470</v>
      </c>
      <c r="P17" s="320"/>
      <c r="Q17" s="642" t="str">
        <f>IF(I13&gt;0,IF(I13&gt;39,"Positivo","Negativo")," ")</f>
        <v> </v>
      </c>
      <c r="R17" s="643" t="e">
        <f>IF(#REF!&gt;0,IF(#REF!&gt;39,"Positivo","Negativo")," ")</f>
        <v>#REF!</v>
      </c>
      <c r="S17" s="643" t="e">
        <f>IF(#REF!&gt;0,IF(#REF!&gt;39,"Positivo","Negativo")," ")</f>
        <v>#REF!</v>
      </c>
      <c r="T17" s="643" t="e">
        <f>IF(#REF!&gt;0,IF(#REF!&gt;39,"Positivo","Negativo")," ")</f>
        <v>#REF!</v>
      </c>
      <c r="U17" s="644" t="e">
        <f>IF(#REF!&gt;0,IF(#REF!&gt;39,"Positivo","Negativo")," ")</f>
        <v>#REF!</v>
      </c>
    </row>
    <row r="18" spans="7:21" ht="13.5" thickBot="1">
      <c r="G18" s="198" t="s">
        <v>178</v>
      </c>
      <c r="H18" s="259"/>
      <c r="I18" s="175">
        <f>'Redditi agricoli'!K35</f>
        <v>0</v>
      </c>
      <c r="J18" s="269"/>
      <c r="K18" s="177">
        <f>IF(I$27&gt;0,I18/I$27,0)</f>
        <v>0</v>
      </c>
      <c r="L18" s="252"/>
      <c r="M18" s="177">
        <f>IF(I$31&gt;0,I18/I$31,0)</f>
        <v>0</v>
      </c>
      <c r="N18" s="252"/>
      <c r="O18" s="641"/>
      <c r="P18" s="320"/>
      <c r="Q18" s="645" t="e">
        <f>IF(#REF!&gt;0,IF(#REF!&gt;39,"Positivo","Negativo")," ")</f>
        <v>#REF!</v>
      </c>
      <c r="R18" s="646" t="e">
        <f>IF(#REF!&gt;0,IF(#REF!&gt;39,"Positivo","Negativo")," ")</f>
        <v>#REF!</v>
      </c>
      <c r="S18" s="646" t="e">
        <f>IF(#REF!&gt;0,IF(#REF!&gt;39,"Positivo","Negativo")," ")</f>
        <v>#REF!</v>
      </c>
      <c r="T18" s="646" t="e">
        <f>IF(#REF!&gt;0,IF(#REF!&gt;39,"Positivo","Negativo")," ")</f>
        <v>#REF!</v>
      </c>
      <c r="U18" s="647" t="e">
        <f>IF(#REF!&gt;0,IF(#REF!&gt;39,"Positivo","Negativo")," ")</f>
        <v>#REF!</v>
      </c>
    </row>
    <row r="19" spans="7:14" ht="12.75">
      <c r="G19" s="199" t="s">
        <v>179</v>
      </c>
      <c r="H19" s="259"/>
      <c r="I19" s="175">
        <f>'Redditi agricoli'!K61</f>
        <v>0</v>
      </c>
      <c r="J19" s="269"/>
      <c r="K19" s="177">
        <f aca="true" t="shared" si="2" ref="K19:K31">IF(I$27&gt;0,I19/I$27,0)</f>
        <v>0</v>
      </c>
      <c r="L19" s="252"/>
      <c r="M19" s="177">
        <f>IF(I$31&gt;0,I19/I$31,0)</f>
        <v>0</v>
      </c>
      <c r="N19" s="252"/>
    </row>
    <row r="20" spans="7:22" ht="12.75">
      <c r="G20" s="199" t="s">
        <v>360</v>
      </c>
      <c r="H20" s="259"/>
      <c r="I20" s="175">
        <f>'Redditi agricoli'!K73</f>
        <v>0</v>
      </c>
      <c r="J20" s="269"/>
      <c r="K20" s="177">
        <f t="shared" si="2"/>
        <v>0</v>
      </c>
      <c r="L20" s="252"/>
      <c r="M20" s="177">
        <f aca="true" t="shared" si="3" ref="M20:M27">IF(I$31&gt;0,I20/I$31,0)</f>
        <v>0</v>
      </c>
      <c r="N20" s="252"/>
      <c r="O20" s="640" t="s">
        <v>236</v>
      </c>
      <c r="P20" s="320"/>
      <c r="Q20" s="642" t="str">
        <f>IF(OR(S25="Negativo",Q11&gt;0,S33="Negativo",S27="Negativo",S29="Negativo",S31="Negativo",),"Negativo","Positivo")</f>
        <v>Positivo</v>
      </c>
      <c r="R20" s="643"/>
      <c r="S20" s="643"/>
      <c r="T20" s="643"/>
      <c r="U20" s="644"/>
      <c r="V20" s="252"/>
    </row>
    <row r="21" spans="7:22" ht="13.5" thickBot="1">
      <c r="G21" s="200" t="s">
        <v>144</v>
      </c>
      <c r="H21" s="259"/>
      <c r="I21" s="175">
        <f>'Redditi agricoli'!K82</f>
        <v>0</v>
      </c>
      <c r="J21" s="269"/>
      <c r="K21" s="177">
        <f t="shared" si="2"/>
        <v>0</v>
      </c>
      <c r="L21" s="252"/>
      <c r="M21" s="177">
        <f t="shared" si="3"/>
        <v>0</v>
      </c>
      <c r="N21" s="252"/>
      <c r="O21" s="641"/>
      <c r="P21" s="320"/>
      <c r="Q21" s="645"/>
      <c r="R21" s="646"/>
      <c r="S21" s="646"/>
      <c r="T21" s="646"/>
      <c r="U21" s="647"/>
      <c r="V21" s="252"/>
    </row>
    <row r="22" spans="7:22" ht="12.75">
      <c r="G22" s="297" t="s">
        <v>394</v>
      </c>
      <c r="H22" s="259"/>
      <c r="I22" s="175">
        <f>'Redditi agricoli'!K83</f>
        <v>0</v>
      </c>
      <c r="J22" s="269"/>
      <c r="K22" s="177">
        <f t="shared" si="2"/>
        <v>0</v>
      </c>
      <c r="L22" s="252"/>
      <c r="M22" s="177">
        <f t="shared" si="3"/>
        <v>0</v>
      </c>
      <c r="N22" s="252"/>
      <c r="V22" s="252"/>
    </row>
    <row r="23" spans="7:23" ht="13.5" thickBot="1">
      <c r="G23" s="303" t="s">
        <v>395</v>
      </c>
      <c r="H23" s="260"/>
      <c r="I23" s="286"/>
      <c r="J23" s="270"/>
      <c r="K23" s="178">
        <f t="shared" si="2"/>
        <v>0</v>
      </c>
      <c r="L23" s="252"/>
      <c r="M23" s="178">
        <f t="shared" si="3"/>
        <v>0</v>
      </c>
      <c r="N23" s="252"/>
      <c r="O23" s="194" t="s">
        <v>237</v>
      </c>
      <c r="P23" s="259"/>
      <c r="Q23" s="194" t="s">
        <v>363</v>
      </c>
      <c r="R23" s="271"/>
      <c r="S23" s="285" t="s">
        <v>362</v>
      </c>
      <c r="T23" s="255"/>
      <c r="U23" s="633" t="s">
        <v>377</v>
      </c>
      <c r="V23" s="634"/>
      <c r="W23" s="635"/>
    </row>
    <row r="24" spans="7:21" ht="4.5" customHeight="1">
      <c r="G24" s="167"/>
      <c r="H24" s="259"/>
      <c r="I24" s="337"/>
      <c r="J24" s="269"/>
      <c r="K24" s="179"/>
      <c r="L24" s="252"/>
      <c r="M24" s="168"/>
      <c r="N24" s="252"/>
      <c r="O24"/>
      <c r="Q24"/>
      <c r="S24"/>
      <c r="U24"/>
    </row>
    <row r="25" spans="7:22" ht="13.5" thickBot="1">
      <c r="G25" s="303" t="s">
        <v>416</v>
      </c>
      <c r="H25" s="259"/>
      <c r="I25" s="286"/>
      <c r="J25" s="269"/>
      <c r="K25" s="180">
        <f t="shared" si="2"/>
        <v>0</v>
      </c>
      <c r="L25" s="263"/>
      <c r="M25" s="180">
        <f t="shared" si="3"/>
        <v>0</v>
      </c>
      <c r="N25" s="252"/>
      <c r="O25" s="195" t="s">
        <v>414</v>
      </c>
      <c r="P25" s="259"/>
      <c r="Q25" s="430">
        <f>IF(I13&gt;0,K15,"")</f>
      </c>
      <c r="R25" s="271"/>
      <c r="S25" s="250">
        <f>IF(I13&gt;0,IF(Q25&gt;1/3,"Positivo","Negativo"),"")</f>
      </c>
      <c r="T25" s="251"/>
      <c r="U25" s="252" t="s">
        <v>378</v>
      </c>
      <c r="V25" s="252"/>
    </row>
    <row r="26" spans="7:24" s="117" customFormat="1" ht="4.5" customHeight="1">
      <c r="G26" s="169"/>
      <c r="H26" s="259"/>
      <c r="I26" s="170"/>
      <c r="J26" s="269"/>
      <c r="K26" s="168"/>
      <c r="L26" s="252"/>
      <c r="M26" s="168"/>
      <c r="N26" s="252"/>
      <c r="O26"/>
      <c r="P26" s="219"/>
      <c r="Q26"/>
      <c r="R26" s="219"/>
      <c r="S26" s="219"/>
      <c r="T26" s="219"/>
      <c r="U26" s="219"/>
      <c r="V26" s="219"/>
      <c r="W26" s="219"/>
      <c r="X26" s="219"/>
    </row>
    <row r="27" spans="7:23" ht="13.5" thickBot="1">
      <c r="G27" s="193" t="s">
        <v>184</v>
      </c>
      <c r="H27" s="259"/>
      <c r="I27" s="181">
        <f>SUM(I18:I25)</f>
        <v>0</v>
      </c>
      <c r="J27" s="264"/>
      <c r="K27" s="182">
        <f t="shared" si="2"/>
        <v>0</v>
      </c>
      <c r="L27" s="251"/>
      <c r="M27" s="182">
        <f t="shared" si="3"/>
        <v>0</v>
      </c>
      <c r="N27" s="252"/>
      <c r="O27" s="195" t="s">
        <v>415</v>
      </c>
      <c r="P27" s="259"/>
      <c r="Q27" s="196">
        <f>IF(I13&gt;0,(I6+I7+I8)/I13,"")</f>
      </c>
      <c r="R27" s="269"/>
      <c r="S27" s="250">
        <f>IF(I13&gt;0,IF(Q27&gt;1/2,"Positivo","Negativo"),"")</f>
      </c>
      <c r="U27" s="252" t="s">
        <v>364</v>
      </c>
      <c r="V27" s="252"/>
      <c r="W27" s="252"/>
    </row>
    <row r="28" spans="7:24" s="117" customFormat="1" ht="4.5" customHeight="1">
      <c r="G28" s="169"/>
      <c r="H28" s="259"/>
      <c r="I28" s="170"/>
      <c r="J28" s="264"/>
      <c r="K28" s="171"/>
      <c r="L28" s="252"/>
      <c r="M28" s="171"/>
      <c r="N28" s="252"/>
      <c r="O28"/>
      <c r="P28" s="219"/>
      <c r="Q28"/>
      <c r="R28" s="219"/>
      <c r="S28" s="219"/>
      <c r="T28" s="219"/>
      <c r="U28" s="219"/>
      <c r="V28" s="219"/>
      <c r="W28" s="219"/>
      <c r="X28" s="219"/>
    </row>
    <row r="29" spans="7:23" ht="13.5" thickBot="1">
      <c r="G29" s="193" t="s">
        <v>185</v>
      </c>
      <c r="H29" s="259"/>
      <c r="I29" s="183">
        <f>SUM(C6:C39)</f>
        <v>0</v>
      </c>
      <c r="J29" s="264"/>
      <c r="K29" s="184">
        <f t="shared" si="2"/>
        <v>0</v>
      </c>
      <c r="L29" s="252"/>
      <c r="M29" s="184">
        <f>IF(I$31&gt;0,I29/I$31,0)</f>
        <v>0</v>
      </c>
      <c r="N29" s="252"/>
      <c r="O29" s="195" t="s">
        <v>417</v>
      </c>
      <c r="P29" s="259"/>
      <c r="Q29" s="196">
        <f>IF(I33&gt;0,(I22+I23)/I27,"")</f>
      </c>
      <c r="R29" s="269"/>
      <c r="S29" s="250">
        <f>IF(I33&gt;0,IF(Q29&lt;0.25,"Positivo","Negativo"),"")</f>
      </c>
      <c r="U29" s="252" t="s">
        <v>418</v>
      </c>
      <c r="V29" s="252"/>
      <c r="W29" s="252"/>
    </row>
    <row r="30" spans="7:25" s="117" customFormat="1" ht="4.5" customHeight="1">
      <c r="G30" s="169"/>
      <c r="H30" s="259"/>
      <c r="I30" s="172"/>
      <c r="J30" s="264"/>
      <c r="K30" s="168"/>
      <c r="L30" s="252"/>
      <c r="M30" s="168"/>
      <c r="N30" s="252"/>
      <c r="O30"/>
      <c r="P30" s="219"/>
      <c r="Q30"/>
      <c r="R30" s="219"/>
      <c r="S30" s="219"/>
      <c r="T30" s="219"/>
      <c r="U30" s="219"/>
      <c r="V30" s="219"/>
      <c r="W30" s="219"/>
      <c r="X30" s="219"/>
      <c r="Y30"/>
    </row>
    <row r="31" spans="7:23" ht="13.5" thickBot="1">
      <c r="G31" s="189" t="s">
        <v>376</v>
      </c>
      <c r="H31" s="259"/>
      <c r="I31" s="181">
        <f>I27-I29</f>
        <v>0</v>
      </c>
      <c r="J31" s="264"/>
      <c r="K31" s="182">
        <f t="shared" si="2"/>
        <v>0</v>
      </c>
      <c r="L31" s="251"/>
      <c r="M31" s="182">
        <f>IF(I$31&gt;0,I31/I$31,0)</f>
        <v>0</v>
      </c>
      <c r="N31" s="252"/>
      <c r="O31" s="195" t="s">
        <v>420</v>
      </c>
      <c r="P31" s="259"/>
      <c r="Q31" s="433">
        <f>IF(I33&gt;0,I33/(CostoLavoro!D10*2),"")</f>
      </c>
      <c r="R31" s="269"/>
      <c r="S31" s="250">
        <f>IF(I27&gt;0,IF(I33&gt;=CostoLavoro!D10,"Positivo","Negativo"),"")</f>
      </c>
      <c r="U31" s="252" t="str">
        <f>"Maggiore del 50% di € "&amp;CostoLavoro!D10*2</f>
        <v>Maggiore del 50% di € 50,5631707317073</v>
      </c>
      <c r="V31" s="252"/>
      <c r="W31" s="252"/>
    </row>
    <row r="32" spans="7:14" ht="4.5" customHeight="1" thickBot="1">
      <c r="G32" s="56"/>
      <c r="H32" s="259"/>
      <c r="I32" s="57"/>
      <c r="J32" s="269"/>
      <c r="K32" s="57"/>
      <c r="L32" s="252"/>
      <c r="M32" s="58"/>
      <c r="N32" s="252"/>
    </row>
    <row r="33" spans="4:23" ht="16.5" thickBot="1">
      <c r="D33" s="77"/>
      <c r="E33" s="77"/>
      <c r="G33" s="202" t="s">
        <v>379</v>
      </c>
      <c r="H33" s="259"/>
      <c r="I33" s="201">
        <f>IF(I15&gt;0,I31/I15,0)</f>
        <v>0</v>
      </c>
      <c r="J33" s="269"/>
      <c r="K33" s="283"/>
      <c r="L33" s="259"/>
      <c r="M33" s="284"/>
      <c r="N33" s="252"/>
      <c r="O33" s="195" t="s">
        <v>446</v>
      </c>
      <c r="P33" s="259"/>
      <c r="Q33" s="493" t="str">
        <f>IF(I13&gt;0,I13," ")</f>
        <v> </v>
      </c>
      <c r="R33" s="269"/>
      <c r="S33" s="250" t="str">
        <f>IF(I13&gt;0,IF(I13&gt;39,"Positivo","Negativo")," ")</f>
        <v> </v>
      </c>
      <c r="U33" s="252" t="str">
        <f>"Maggiore 40 giornate "</f>
        <v>Maggiore 40 giornate </v>
      </c>
      <c r="V33" s="252"/>
      <c r="W33" s="252"/>
    </row>
    <row r="34" spans="4:14" ht="5.25" customHeight="1">
      <c r="D34" s="77"/>
      <c r="E34" s="77"/>
      <c r="G34" s="56"/>
      <c r="H34" s="259"/>
      <c r="I34" s="57"/>
      <c r="J34" s="269"/>
      <c r="K34" s="57"/>
      <c r="L34" s="252"/>
      <c r="M34" s="58"/>
      <c r="N34" s="252"/>
    </row>
    <row r="35" spans="4:5" ht="14.25" customHeight="1">
      <c r="D35" s="77"/>
      <c r="E35" s="77"/>
    </row>
    <row r="36" spans="4:5" ht="10.5" customHeight="1">
      <c r="D36" s="77"/>
      <c r="E36" s="77"/>
    </row>
    <row r="37" spans="1:5" ht="4.5" customHeight="1">
      <c r="A37" s="79"/>
      <c r="B37" s="80"/>
      <c r="C37" s="78"/>
      <c r="D37" s="77"/>
      <c r="E37" s="77"/>
    </row>
    <row r="38" spans="4:5" ht="12.75">
      <c r="D38" s="77"/>
      <c r="E38" s="77"/>
    </row>
    <row r="39" ht="4.5" customHeight="1"/>
    <row r="40" spans="4:16" ht="12.75">
      <c r="D40" s="77"/>
      <c r="E40" s="77"/>
      <c r="P40" s="252"/>
    </row>
    <row r="41" ht="4.5" customHeight="1"/>
    <row r="42" spans="1:16" ht="12.75">
      <c r="A42" s="77"/>
      <c r="B42" s="77"/>
      <c r="C42" s="77"/>
      <c r="D42" s="77"/>
      <c r="E42" s="77"/>
      <c r="P42" s="252"/>
    </row>
    <row r="43" ht="4.5" customHeight="1"/>
    <row r="44" spans="1:16" ht="12.75">
      <c r="A44" s="77"/>
      <c r="B44" s="77"/>
      <c r="C44" s="77"/>
      <c r="D44" s="77"/>
      <c r="E44" s="77"/>
      <c r="P44" s="252"/>
    </row>
    <row r="45" ht="4.5" customHeight="1"/>
    <row r="46" spans="1:16" ht="12.75">
      <c r="A46" s="77"/>
      <c r="B46" s="77"/>
      <c r="C46" s="77"/>
      <c r="D46" s="77"/>
      <c r="E46" s="77"/>
      <c r="P46" s="252"/>
    </row>
    <row r="47" spans="15:16" ht="4.5" customHeight="1">
      <c r="O47" s="252"/>
      <c r="P47" s="252"/>
    </row>
    <row r="48" spans="1:16" ht="12.75">
      <c r="A48" s="77"/>
      <c r="B48" s="77"/>
      <c r="C48" s="77"/>
      <c r="D48" s="77"/>
      <c r="E48" s="77"/>
      <c r="O48" s="252"/>
      <c r="P48" s="252"/>
    </row>
    <row r="49" spans="1:16" ht="12.75">
      <c r="A49" s="282"/>
      <c r="B49" s="282"/>
      <c r="C49" s="282"/>
      <c r="D49" s="282"/>
      <c r="E49" s="282"/>
      <c r="F49" s="219"/>
      <c r="G49" s="219"/>
      <c r="I49" s="253"/>
      <c r="K49" s="253"/>
      <c r="M49" s="254"/>
      <c r="N49" s="252"/>
      <c r="O49" s="252"/>
      <c r="P49" s="252"/>
    </row>
    <row r="50" spans="1:16" ht="12.75">
      <c r="A50" s="282"/>
      <c r="B50" s="282"/>
      <c r="C50" s="282"/>
      <c r="D50" s="282"/>
      <c r="E50" s="282"/>
      <c r="F50" s="219"/>
      <c r="G50" s="219"/>
      <c r="I50" s="253"/>
      <c r="K50" s="253"/>
      <c r="M50" s="254"/>
      <c r="N50" s="252"/>
      <c r="O50" s="252"/>
      <c r="P50" s="252"/>
    </row>
    <row r="51" spans="1:16" ht="12.75">
      <c r="A51" s="282"/>
      <c r="B51" s="282"/>
      <c r="C51" s="282"/>
      <c r="D51" s="282"/>
      <c r="E51" s="282"/>
      <c r="F51" s="219"/>
      <c r="G51" s="219"/>
      <c r="I51" s="253"/>
      <c r="K51" s="253"/>
      <c r="M51" s="254"/>
      <c r="N51" s="252"/>
      <c r="O51" s="252"/>
      <c r="P51" s="252"/>
    </row>
    <row r="52" spans="1:16" ht="12.75">
      <c r="A52" s="219"/>
      <c r="B52" s="219"/>
      <c r="C52" s="219"/>
      <c r="D52" s="219"/>
      <c r="E52" s="219"/>
      <c r="F52" s="219"/>
      <c r="G52" s="219"/>
      <c r="I52" s="253"/>
      <c r="K52" s="253"/>
      <c r="M52" s="254"/>
      <c r="N52" s="252"/>
      <c r="O52" s="252"/>
      <c r="P52" s="252"/>
    </row>
    <row r="53" spans="1:16" ht="12.75">
      <c r="A53" s="219"/>
      <c r="B53" s="219"/>
      <c r="C53" s="219"/>
      <c r="D53" s="219"/>
      <c r="E53" s="219"/>
      <c r="F53" s="219"/>
      <c r="G53" s="219"/>
      <c r="I53" s="253"/>
      <c r="K53" s="253"/>
      <c r="M53" s="254"/>
      <c r="N53" s="252"/>
      <c r="O53" s="252"/>
      <c r="P53" s="252"/>
    </row>
    <row r="54" spans="1:14" ht="12.75">
      <c r="A54" s="219"/>
      <c r="B54" s="219"/>
      <c r="C54" s="219"/>
      <c r="D54" s="219"/>
      <c r="E54" s="219"/>
      <c r="F54" s="219"/>
      <c r="G54" s="219"/>
      <c r="I54" s="253"/>
      <c r="K54" s="253"/>
      <c r="M54" s="254"/>
      <c r="N54" s="252"/>
    </row>
    <row r="55" spans="1:14" ht="12.75">
      <c r="A55" s="219"/>
      <c r="B55" s="219"/>
      <c r="C55" s="219"/>
      <c r="D55" s="219"/>
      <c r="E55" s="219"/>
      <c r="F55" s="219"/>
      <c r="G55" s="219"/>
      <c r="I55" s="253"/>
      <c r="K55" s="253"/>
      <c r="M55" s="254"/>
      <c r="N55" s="252"/>
    </row>
    <row r="56" spans="1:13" ht="12.75">
      <c r="A56" s="219"/>
      <c r="B56" s="219"/>
      <c r="C56" s="219"/>
      <c r="D56" s="219"/>
      <c r="E56" s="219"/>
      <c r="F56" s="219"/>
      <c r="G56" s="219"/>
      <c r="I56" s="253"/>
      <c r="K56" s="253"/>
      <c r="M56" s="254"/>
    </row>
    <row r="57" spans="1:13" ht="12.75">
      <c r="A57" s="219"/>
      <c r="B57" s="219"/>
      <c r="C57" s="219"/>
      <c r="D57" s="219"/>
      <c r="E57" s="219"/>
      <c r="F57" s="219"/>
      <c r="G57" s="219"/>
      <c r="I57" s="253"/>
      <c r="K57" s="253"/>
      <c r="M57" s="254"/>
    </row>
    <row r="58" spans="1:13" ht="12.75">
      <c r="A58" s="219"/>
      <c r="B58" s="219"/>
      <c r="C58" s="219"/>
      <c r="D58" s="219"/>
      <c r="E58" s="219"/>
      <c r="F58" s="219"/>
      <c r="G58" s="219"/>
      <c r="I58" s="253"/>
      <c r="K58" s="253"/>
      <c r="M58" s="254"/>
    </row>
    <row r="59" spans="1:13" ht="12.75">
      <c r="A59" s="219"/>
      <c r="B59" s="219"/>
      <c r="C59" s="219"/>
      <c r="D59" s="219"/>
      <c r="E59" s="219"/>
      <c r="F59" s="219"/>
      <c r="G59" s="219"/>
      <c r="I59" s="253"/>
      <c r="K59" s="253"/>
      <c r="M59" s="254"/>
    </row>
    <row r="61" ht="12.75">
      <c r="I61"/>
    </row>
    <row r="62" ht="12.75">
      <c r="I62"/>
    </row>
    <row r="63" ht="12.75">
      <c r="I63"/>
    </row>
    <row r="64" ht="12.75">
      <c r="I64"/>
    </row>
    <row r="65" ht="12.75">
      <c r="I65"/>
    </row>
  </sheetData>
  <sheetProtection sheet="1" objects="1" scenarios="1" selectLockedCells="1"/>
  <mergeCells count="11">
    <mergeCell ref="Q20:U21"/>
    <mergeCell ref="U23:W23"/>
    <mergeCell ref="Q9:R9"/>
    <mergeCell ref="Q11:R11"/>
    <mergeCell ref="O17:O18"/>
    <mergeCell ref="Q17:U18"/>
    <mergeCell ref="Q5:R5"/>
    <mergeCell ref="Q6:R6"/>
    <mergeCell ref="Q7:R7"/>
    <mergeCell ref="Q8:R8"/>
    <mergeCell ref="O20:O21"/>
  </mergeCells>
  <printOptions/>
  <pageMargins left="0.59" right="0.6" top="1" bottom="1" header="0.5" footer="0.5"/>
  <pageSetup fitToHeight="1" fitToWidth="1" horizontalDpi="600" verticalDpi="600" orientation="landscape" paperSize="9" scale="78" r:id="rId4"/>
  <drawing r:id="rId3"/>
  <legacyDrawing r:id="rId2"/>
  <oleObjects>
    <oleObject progId="Word.Picture.8" shapeId="635154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H69"/>
  <sheetViews>
    <sheetView zoomScalePageLayoutView="0" workbookViewId="0" topLeftCell="A1">
      <selection activeCell="B22" sqref="B22"/>
    </sheetView>
  </sheetViews>
  <sheetFormatPr defaultColWidth="9.140625" defaultRowHeight="12.75"/>
  <cols>
    <col min="1" max="1" width="64.8515625" style="0" customWidth="1"/>
    <col min="2" max="2" width="13.140625" style="0" customWidth="1"/>
    <col min="3" max="3" width="10.7109375" style="0" customWidth="1"/>
    <col min="4" max="4" width="11.421875" style="0" customWidth="1"/>
  </cols>
  <sheetData>
    <row r="1" ht="15.75">
      <c r="A1" s="318" t="s">
        <v>401</v>
      </c>
    </row>
    <row r="2" spans="1:8" ht="38.25">
      <c r="A2" s="315" t="s">
        <v>403</v>
      </c>
      <c r="B2" s="311" t="s">
        <v>400</v>
      </c>
      <c r="C2" s="311" t="s">
        <v>404</v>
      </c>
      <c r="D2" s="311" t="s">
        <v>405</v>
      </c>
      <c r="E2" s="313"/>
      <c r="F2" s="313"/>
      <c r="G2" s="313"/>
      <c r="H2" s="313"/>
    </row>
    <row r="3" spans="1:8" ht="12.75">
      <c r="A3" s="314" t="str">
        <f>"Quantità lavorata maggiore della materia prima disponibile ("&amp;C3&amp;")"</f>
        <v>Quantità lavorata maggiore della materia prima disponibile (0)</v>
      </c>
      <c r="B3" s="314">
        <v>100</v>
      </c>
      <c r="C3" s="314">
        <f>'Colture-Allevamenti'!M52*B3+'Lavoro-Trasformazione'!BA10</f>
        <v>0</v>
      </c>
      <c r="D3" s="314">
        <f>IF('Lavoro-Trasformazione'!AW10&gt;C3,1,0)</f>
        <v>0</v>
      </c>
      <c r="E3" s="314"/>
      <c r="F3" s="221" t="s">
        <v>281</v>
      </c>
      <c r="G3" s="76"/>
      <c r="H3" s="76"/>
    </row>
    <row r="4" spans="1:8" ht="12.75">
      <c r="A4" s="313"/>
      <c r="B4" s="313"/>
      <c r="C4" s="313"/>
      <c r="D4" s="313"/>
      <c r="E4" s="313"/>
      <c r="F4" s="313"/>
      <c r="G4" s="313"/>
      <c r="H4" s="313"/>
    </row>
    <row r="5" spans="1:8" ht="12.75">
      <c r="A5" s="314" t="str">
        <f>"Quantità lavorata maggiore della materia prima disponibile ("&amp;C5&amp;")"</f>
        <v>Quantità lavorata maggiore della materia prima disponibile (0)</v>
      </c>
      <c r="B5" s="314">
        <v>40</v>
      </c>
      <c r="C5" s="314">
        <f>'Colture-Allevamenti'!Z22*B5+'Lavoro-Trasformazione'!BA12</f>
        <v>0</v>
      </c>
      <c r="D5" s="314">
        <f>IF('Lavoro-Trasformazione'!AW12&gt;C5,1,0)</f>
        <v>0</v>
      </c>
      <c r="E5" s="314"/>
      <c r="F5" s="221" t="s">
        <v>283</v>
      </c>
      <c r="G5" s="314"/>
      <c r="H5" s="314"/>
    </row>
    <row r="6" spans="1:8" ht="12.75">
      <c r="A6" s="313"/>
      <c r="B6" s="313"/>
      <c r="C6" s="313"/>
      <c r="D6" s="313"/>
      <c r="E6" s="313"/>
      <c r="F6" s="313"/>
      <c r="G6" s="313"/>
      <c r="H6" s="313"/>
    </row>
    <row r="7" spans="1:8" ht="12.75">
      <c r="A7" s="314" t="str">
        <f>"Quantità lavorata maggiore della materia prima disponibile ("&amp;C7&amp;")"</f>
        <v>Quantità lavorata maggiore della materia prima disponibile (0)</v>
      </c>
      <c r="B7">
        <v>2</v>
      </c>
      <c r="C7">
        <f>'Colture-Allevamenti'!Z26*B7+'Colture-Allevamenti'!Z28*B8+'Lavoro-Trasformazione'!BA14</f>
        <v>0</v>
      </c>
      <c r="D7">
        <f>IF('Lavoro-Trasformazione'!AW14&gt;C7,1,0)</f>
        <v>0</v>
      </c>
      <c r="F7" s="221" t="s">
        <v>284</v>
      </c>
      <c r="G7" s="314"/>
      <c r="H7" s="314"/>
    </row>
    <row r="8" spans="1:8" ht="12.75">
      <c r="A8" s="313"/>
      <c r="B8" s="313">
        <v>6</v>
      </c>
      <c r="C8" s="313"/>
      <c r="D8" s="313"/>
      <c r="E8" s="313"/>
      <c r="F8" s="313"/>
      <c r="G8" s="313"/>
      <c r="H8" s="313"/>
    </row>
    <row r="9" spans="1:8" s="117" customFormat="1" ht="12.75">
      <c r="A9" s="117" t="str">
        <f>"Fatturato maggiore del valore massimo ottenibile dalla materia prima disponibile ("&amp;ROUND('Redditi agricoli'!S72+Controlli!D13,2)&amp;")"</f>
        <v>Fatturato maggiore del valore massimo ottenibile dalla materia prima disponibile (0)</v>
      </c>
      <c r="C9" s="317">
        <f>'Redditi agricoli'!S72+D13</f>
        <v>0</v>
      </c>
      <c r="D9" s="117">
        <f>IF('Lavoro-Trasformazione'!AW18&gt;C9,1,0)</f>
        <v>0</v>
      </c>
      <c r="F9" s="324" t="s">
        <v>297</v>
      </c>
      <c r="G9" s="116"/>
      <c r="H9" s="116"/>
    </row>
    <row r="10" spans="1:8" ht="12.75">
      <c r="A10" s="313"/>
      <c r="B10" s="313"/>
      <c r="C10" s="313"/>
      <c r="D10" s="313"/>
      <c r="E10" s="313"/>
      <c r="F10" s="313"/>
      <c r="G10" s="313"/>
      <c r="H10" s="313"/>
    </row>
    <row r="11" ht="12.75" customHeight="1">
      <c r="A11" s="76"/>
    </row>
    <row r="12" spans="1:4" ht="57.75" customHeight="1">
      <c r="A12" s="310" t="s">
        <v>410</v>
      </c>
      <c r="B12" s="329" t="s">
        <v>431</v>
      </c>
      <c r="C12" s="329" t="s">
        <v>402</v>
      </c>
      <c r="D12" s="329" t="s">
        <v>248</v>
      </c>
    </row>
    <row r="13" spans="1:4" ht="12.75" customHeight="1">
      <c r="A13" t="s">
        <v>398</v>
      </c>
      <c r="B13" s="317">
        <f>'Lavoro-Trasformazione'!BA18/((1-TabAttività!D60)*0.8)</f>
        <v>0</v>
      </c>
      <c r="C13" s="317">
        <f>(B13/(1-TabAttività!D64)*0.5)*'Lavoro-Trasformazione'!BE18/100</f>
        <v>0</v>
      </c>
      <c r="D13" s="317">
        <f>B13+C13</f>
        <v>0</v>
      </c>
    </row>
    <row r="14" spans="2:4" ht="27.75" customHeight="1">
      <c r="B14" s="329" t="s">
        <v>432</v>
      </c>
      <c r="C14" s="317"/>
      <c r="D14" s="329" t="s">
        <v>433</v>
      </c>
    </row>
    <row r="15" spans="1:4" ht="12.75" customHeight="1">
      <c r="A15" t="s">
        <v>406</v>
      </c>
      <c r="B15" s="317">
        <f>'Redditi agricoli'!S68</f>
        <v>0</v>
      </c>
      <c r="C15" s="117"/>
      <c r="D15" s="317">
        <f>'Redditi agricoli'!S72</f>
        <v>0</v>
      </c>
    </row>
    <row r="16" ht="12.75" customHeight="1"/>
    <row r="17" ht="12.75" customHeight="1">
      <c r="A17" s="76"/>
    </row>
    <row r="18" ht="15.75" customHeight="1">
      <c r="A18" s="316" t="s">
        <v>407</v>
      </c>
    </row>
    <row r="19" spans="1:4" ht="25.5">
      <c r="A19" s="315" t="s">
        <v>403</v>
      </c>
      <c r="C19" s="311" t="s">
        <v>404</v>
      </c>
      <c r="D19" s="311" t="s">
        <v>405</v>
      </c>
    </row>
    <row r="20" spans="1:8" ht="12.75">
      <c r="A20" s="314" t="str">
        <f>"La percentuale di vendita va espressa solo se vi è materia prima trasformata"</f>
        <v>La percentuale di vendita va espressa solo se vi è materia prima trasformata</v>
      </c>
      <c r="B20" s="314"/>
      <c r="C20" s="312">
        <f>IF('Lavoro-Trasformazione'!AW10&gt;0,100,0)</f>
        <v>0</v>
      </c>
      <c r="D20" s="314">
        <f>IF('Lavoro-Trasformazione'!BE10&gt;C20,1,0)</f>
        <v>0</v>
      </c>
      <c r="E20" s="314"/>
      <c r="F20" s="221" t="s">
        <v>281</v>
      </c>
      <c r="G20" s="76"/>
      <c r="H20" s="76"/>
    </row>
    <row r="21" spans="1:8" ht="12.75">
      <c r="A21" s="313"/>
      <c r="B21" s="313"/>
      <c r="C21" s="313"/>
      <c r="D21" s="313"/>
      <c r="E21" s="313"/>
      <c r="F21" s="313"/>
      <c r="G21" s="313"/>
      <c r="H21" s="313"/>
    </row>
    <row r="22" spans="1:8" ht="12.75">
      <c r="A22" s="314" t="str">
        <f>"La percentuale di vendita va espressa solo se vi è materia prima trasformata"</f>
        <v>La percentuale di vendita va espressa solo se vi è materia prima trasformata</v>
      </c>
      <c r="B22" s="314"/>
      <c r="C22" s="312">
        <f>IF('Lavoro-Trasformazione'!AW12&gt;0,100,0)</f>
        <v>0</v>
      </c>
      <c r="D22" s="314">
        <f>IF('Lavoro-Trasformazione'!BE12&gt;C22,1,0)</f>
        <v>0</v>
      </c>
      <c r="E22" s="314"/>
      <c r="F22" s="221" t="s">
        <v>283</v>
      </c>
      <c r="G22" s="76"/>
      <c r="H22" s="76"/>
    </row>
    <row r="23" spans="1:8" ht="12.75">
      <c r="A23" s="313"/>
      <c r="B23" s="313"/>
      <c r="C23" s="313"/>
      <c r="D23" s="313"/>
      <c r="E23" s="313"/>
      <c r="F23" s="313"/>
      <c r="G23" s="313"/>
      <c r="H23" s="313"/>
    </row>
    <row r="24" spans="1:8" ht="12.75">
      <c r="A24" s="314" t="str">
        <f>"La percentuale di vendita va espressa solo se vi è materia prima trasformata"</f>
        <v>La percentuale di vendita va espressa solo se vi è materia prima trasformata</v>
      </c>
      <c r="B24" s="314"/>
      <c r="C24" s="312">
        <f>IF('Lavoro-Trasformazione'!AW14&gt;0,100,0)</f>
        <v>0</v>
      </c>
      <c r="D24" s="314">
        <f>IF('Lavoro-Trasformazione'!BE14&gt;C24,1,0)</f>
        <v>0</v>
      </c>
      <c r="E24" s="314"/>
      <c r="F24" s="221" t="s">
        <v>284</v>
      </c>
      <c r="G24" s="76"/>
      <c r="H24" s="76"/>
    </row>
    <row r="25" spans="1:8" ht="12.75">
      <c r="A25" s="313"/>
      <c r="B25" s="313"/>
      <c r="C25" s="313"/>
      <c r="D25" s="313"/>
      <c r="E25" s="313"/>
      <c r="F25" s="313"/>
      <c r="G25" s="313"/>
      <c r="H25" s="313"/>
    </row>
    <row r="26" spans="1:8" ht="12.75">
      <c r="A26" s="314" t="str">
        <f>"La percentuale di vendita va espressa solo se vi è fatturato"</f>
        <v>La percentuale di vendita va espressa solo se vi è fatturato</v>
      </c>
      <c r="B26" s="314"/>
      <c r="C26" s="312">
        <f>IF('Lavoro-Trasformazione'!AW18&gt;0,100,0)</f>
        <v>0</v>
      </c>
      <c r="D26" s="314">
        <f>IF('Lavoro-Trasformazione'!BE18&gt;C26,1,0)</f>
        <v>0</v>
      </c>
      <c r="E26" s="314"/>
      <c r="F26" s="221" t="s">
        <v>297</v>
      </c>
      <c r="G26" s="76"/>
      <c r="H26" s="76"/>
    </row>
    <row r="27" spans="1:8" ht="12.75">
      <c r="A27" s="313"/>
      <c r="B27" s="313"/>
      <c r="C27" s="313"/>
      <c r="D27" s="313"/>
      <c r="E27" s="313"/>
      <c r="F27" s="313"/>
      <c r="G27" s="313"/>
      <c r="H27" s="313"/>
    </row>
    <row r="29" ht="15.75">
      <c r="A29" s="316" t="s">
        <v>408</v>
      </c>
    </row>
    <row r="30" spans="1:4" ht="25.5">
      <c r="A30" s="315" t="s">
        <v>403</v>
      </c>
      <c r="C30" s="311" t="s">
        <v>404</v>
      </c>
      <c r="D30" s="311" t="s">
        <v>405</v>
      </c>
    </row>
    <row r="31" spans="1:8" ht="12.75">
      <c r="A31" s="314" t="s">
        <v>425</v>
      </c>
      <c r="B31" s="314"/>
      <c r="C31" s="312">
        <f>'Lavoro-Trasformazione'!AW10/2</f>
        <v>0</v>
      </c>
      <c r="D31" s="314">
        <f>IF('Lavoro-Trasformazione'!BA10&gt;C31,1,0)</f>
        <v>0</v>
      </c>
      <c r="E31" s="314"/>
      <c r="F31" s="221" t="s">
        <v>281</v>
      </c>
      <c r="G31" s="76"/>
      <c r="H31" s="76"/>
    </row>
    <row r="32" spans="1:8" ht="12.75">
      <c r="A32" s="313"/>
      <c r="B32" s="313"/>
      <c r="C32" s="313"/>
      <c r="D32" s="313"/>
      <c r="E32" s="313"/>
      <c r="F32" s="313"/>
      <c r="G32" s="313"/>
      <c r="H32" s="313"/>
    </row>
    <row r="33" spans="1:8" ht="12.75">
      <c r="A33" s="314" t="s">
        <v>425</v>
      </c>
      <c r="B33" s="314"/>
      <c r="C33" s="312">
        <f>'Lavoro-Trasformazione'!AW12/2</f>
        <v>0</v>
      </c>
      <c r="D33" s="314">
        <f>IF('Lavoro-Trasformazione'!BA12&gt;C33,1,0)</f>
        <v>0</v>
      </c>
      <c r="E33" s="314"/>
      <c r="F33" s="221" t="s">
        <v>283</v>
      </c>
      <c r="G33" s="76"/>
      <c r="H33" s="76"/>
    </row>
    <row r="34" spans="1:8" ht="12.75">
      <c r="A34" s="313"/>
      <c r="B34" s="313"/>
      <c r="C34" s="313"/>
      <c r="D34" s="313"/>
      <c r="E34" s="313"/>
      <c r="F34" s="313"/>
      <c r="G34" s="313"/>
      <c r="H34" s="313"/>
    </row>
    <row r="35" spans="1:8" ht="12.75">
      <c r="A35" s="314" t="s">
        <v>425</v>
      </c>
      <c r="B35" s="314"/>
      <c r="C35" s="312">
        <f>'Lavoro-Trasformazione'!AW14/2</f>
        <v>0</v>
      </c>
      <c r="D35" s="314">
        <f>IF('Lavoro-Trasformazione'!BA14&gt;C35,1,0)</f>
        <v>0</v>
      </c>
      <c r="E35" s="314"/>
      <c r="F35" s="221" t="s">
        <v>284</v>
      </c>
      <c r="G35" s="76"/>
      <c r="H35" s="76"/>
    </row>
    <row r="36" spans="1:8" ht="12.75">
      <c r="A36" s="313"/>
      <c r="B36" s="313"/>
      <c r="C36" s="313"/>
      <c r="D36" s="313"/>
      <c r="E36" s="313"/>
      <c r="F36" s="313"/>
      <c r="G36" s="313"/>
      <c r="H36" s="313"/>
    </row>
    <row r="37" spans="1:8" ht="12.75">
      <c r="A37" s="76"/>
      <c r="B37" s="76"/>
      <c r="C37" s="313"/>
      <c r="D37" s="76"/>
      <c r="E37" s="76"/>
      <c r="F37" s="331"/>
      <c r="G37" s="313"/>
      <c r="H37" s="313"/>
    </row>
    <row r="38" spans="1:8" ht="12.75">
      <c r="A38" s="314" t="str">
        <f>"Il valore della materia prima acquistata non può superare il valore di quella prodotta ("&amp;ROUND(B15,0)&amp;")"</f>
        <v>Il valore della materia prima acquistata non può superare il valore di quella prodotta (0)</v>
      </c>
      <c r="B38" s="314"/>
      <c r="C38" s="332">
        <f>B15</f>
        <v>0</v>
      </c>
      <c r="D38" s="314">
        <f>IF('Lavoro-Trasformazione'!BA18&gt;C38,1,0)</f>
        <v>0</v>
      </c>
      <c r="E38" s="314"/>
      <c r="F38" s="324" t="s">
        <v>297</v>
      </c>
      <c r="G38" s="76"/>
      <c r="H38" s="76"/>
    </row>
    <row r="39" spans="1:8" ht="12.75">
      <c r="A39" s="313"/>
      <c r="B39" s="313"/>
      <c r="C39" s="313"/>
      <c r="D39" s="313"/>
      <c r="E39" s="313"/>
      <c r="F39" s="330"/>
      <c r="G39" s="313"/>
      <c r="H39" s="313"/>
    </row>
    <row r="40" spans="1:8" ht="12.75">
      <c r="A40" s="314" t="s">
        <v>434</v>
      </c>
      <c r="B40" s="314"/>
      <c r="C40" s="332">
        <f>'Lavoro-Trasformazione'!AW18/2</f>
        <v>0</v>
      </c>
      <c r="D40" s="314">
        <f>IF('Lavoro-Trasformazione'!BA18&gt;C40,1,0)</f>
        <v>0</v>
      </c>
      <c r="E40" s="314"/>
      <c r="F40" s="324" t="s">
        <v>297</v>
      </c>
      <c r="G40" s="76"/>
      <c r="H40" s="76"/>
    </row>
    <row r="41" spans="1:8" ht="12.75">
      <c r="A41" s="313"/>
      <c r="B41" s="313"/>
      <c r="C41" s="313"/>
      <c r="D41" s="313"/>
      <c r="E41" s="313"/>
      <c r="F41" s="330"/>
      <c r="G41" s="313"/>
      <c r="H41" s="313"/>
    </row>
    <row r="43" ht="15.75">
      <c r="A43" s="316" t="s">
        <v>409</v>
      </c>
    </row>
    <row r="44" spans="1:4" ht="25.5">
      <c r="A44" s="315" t="s">
        <v>403</v>
      </c>
      <c r="C44" s="311" t="s">
        <v>404</v>
      </c>
      <c r="D44" s="311" t="s">
        <v>405</v>
      </c>
    </row>
    <row r="45" spans="1:8" ht="12.75">
      <c r="A45" s="314" t="str">
        <f>"La quantità di materia prima lavorata è inferiore al minimo ammesso ("&amp;C45+1&amp;")"</f>
        <v>La quantità di materia prima lavorata è inferiore al minimo ammesso (10)</v>
      </c>
      <c r="B45" s="314"/>
      <c r="C45" s="312">
        <v>9</v>
      </c>
      <c r="D45" s="314">
        <f>IF(AND('Lavoro-Trasformazione'!AW10&gt;0,'Lavoro-Trasformazione'!AW10&lt;C45),1,0)</f>
        <v>0</v>
      </c>
      <c r="E45" s="314"/>
      <c r="F45" s="221" t="s">
        <v>281</v>
      </c>
      <c r="G45" s="76"/>
      <c r="H45" s="76"/>
    </row>
    <row r="46" spans="1:8" ht="12.75">
      <c r="A46" s="313"/>
      <c r="B46" s="313"/>
      <c r="C46" s="313"/>
      <c r="D46" s="313"/>
      <c r="E46" s="313"/>
      <c r="F46" s="313"/>
      <c r="G46" s="313"/>
      <c r="H46" s="313"/>
    </row>
    <row r="47" spans="1:8" ht="12.75">
      <c r="A47" s="314" t="str">
        <f>"La quantità di materia prima lavorata è inferiore al minimo ammesso ("&amp;C47+1&amp;")"</f>
        <v>La quantità di materia prima lavorata è inferiore al minimo ammesso (100)</v>
      </c>
      <c r="B47" s="314"/>
      <c r="C47" s="312">
        <v>99</v>
      </c>
      <c r="D47" s="314">
        <f>IF(AND('Lavoro-Trasformazione'!AW12&gt;0,'Lavoro-Trasformazione'!AW12&lt;C47),1,0)</f>
        <v>0</v>
      </c>
      <c r="E47" s="314"/>
      <c r="F47" s="221" t="s">
        <v>283</v>
      </c>
      <c r="G47" s="76"/>
      <c r="H47" s="76"/>
    </row>
    <row r="48" spans="1:8" ht="12.75">
      <c r="A48" s="313"/>
      <c r="B48" s="313"/>
      <c r="C48" s="313"/>
      <c r="D48" s="313"/>
      <c r="E48" s="313"/>
      <c r="F48" s="313"/>
      <c r="G48" s="313"/>
      <c r="H48" s="313"/>
    </row>
    <row r="49" spans="1:8" ht="12.75">
      <c r="A49" s="314" t="str">
        <f>"La quantità di materia prima lavorata è inferiore al minimo ammesso ("&amp;C49+1&amp;")"</f>
        <v>La quantità di materia prima lavorata è inferiore al minimo ammesso (30)</v>
      </c>
      <c r="B49" s="314"/>
      <c r="C49" s="312">
        <v>29</v>
      </c>
      <c r="D49" s="314">
        <f>IF(AND('Lavoro-Trasformazione'!AW14&gt;0,'Lavoro-Trasformazione'!AW14&lt;C49),1,0)</f>
        <v>0</v>
      </c>
      <c r="E49" s="314"/>
      <c r="F49" s="221" t="s">
        <v>284</v>
      </c>
      <c r="G49" s="76"/>
      <c r="H49" s="76"/>
    </row>
    <row r="50" spans="1:8" ht="12.75">
      <c r="A50" s="313"/>
      <c r="B50" s="313"/>
      <c r="C50" s="313"/>
      <c r="D50" s="313"/>
      <c r="E50" s="313"/>
      <c r="F50" s="313"/>
      <c r="G50" s="313"/>
      <c r="H50" s="313"/>
    </row>
    <row r="51" ht="12.75">
      <c r="A51" s="159" t="s">
        <v>411</v>
      </c>
    </row>
    <row r="53" ht="15.75">
      <c r="A53" s="316" t="s">
        <v>428</v>
      </c>
    </row>
    <row r="54" spans="1:4" ht="25.5">
      <c r="A54" s="315" t="s">
        <v>403</v>
      </c>
      <c r="C54" s="311" t="s">
        <v>404</v>
      </c>
      <c r="D54" s="311" t="s">
        <v>405</v>
      </c>
    </row>
    <row r="55" spans="1:6" ht="12.75">
      <c r="A55" t="s">
        <v>429</v>
      </c>
      <c r="C55" s="327" t="str">
        <f>IF('Lavoro-Trasformazione'!AW10&gt;0,'Lavoro-Trasformazione'!BI10,"ok")</f>
        <v>ok</v>
      </c>
      <c r="D55">
        <f>IF(C55="ok",0,IF(AND('Lavoro-Trasformazione'!AW10&gt;0,(OR('Lavoro-Trasformazione'!BI10="si",'Lavoro-Trasformazione'!BI10="no"))),0,1))</f>
        <v>0</v>
      </c>
      <c r="F55" s="221" t="s">
        <v>281</v>
      </c>
    </row>
    <row r="56" spans="6:8" ht="12.75">
      <c r="F56" s="313"/>
      <c r="G56" s="313"/>
      <c r="H56" s="313"/>
    </row>
    <row r="57" spans="1:8" ht="12.75">
      <c r="A57" s="314" t="s">
        <v>430</v>
      </c>
      <c r="B57" s="314"/>
      <c r="C57" s="328">
        <f>'Lavoro-Trasformazione'!BI12</f>
        <v>0</v>
      </c>
      <c r="D57" s="314">
        <f>IF('Lavoro-Trasformazione'!AW12=0,0,IF(AND('Lavoro-Trasformazione'!AW12&gt;0,Controlli!C57=0),1,0))</f>
        <v>0</v>
      </c>
      <c r="E57" s="314"/>
      <c r="F57" s="221" t="s">
        <v>283</v>
      </c>
      <c r="G57" s="76"/>
      <c r="H57" s="76"/>
    </row>
    <row r="60" ht="15.75">
      <c r="A60" s="319" t="s">
        <v>419</v>
      </c>
    </row>
    <row r="61" ht="15.75">
      <c r="A61" s="319"/>
    </row>
    <row r="62" spans="1:4" ht="12.75">
      <c r="A62" s="324" t="s">
        <v>281</v>
      </c>
      <c r="D62">
        <f>D45+D31+D20+D3+D55</f>
        <v>0</v>
      </c>
    </row>
    <row r="63" spans="1:4" ht="12.75">
      <c r="A63" s="324" t="s">
        <v>283</v>
      </c>
      <c r="D63">
        <f>D47+D33+D22+D5+D57</f>
        <v>0</v>
      </c>
    </row>
    <row r="64" spans="1:4" ht="12.75">
      <c r="A64" s="324" t="s">
        <v>284</v>
      </c>
      <c r="D64">
        <f>D49+D35+D24+D7</f>
        <v>0</v>
      </c>
    </row>
    <row r="65" spans="1:4" ht="12.75">
      <c r="A65" s="324" t="s">
        <v>297</v>
      </c>
      <c r="D65">
        <f>D51+D40+D38+D26+D9</f>
        <v>0</v>
      </c>
    </row>
    <row r="67" ht="12.75">
      <c r="A67" s="117"/>
    </row>
    <row r="69" ht="12.75">
      <c r="A69" s="117"/>
    </row>
  </sheetData>
  <sheetProtection sheet="1" objects="1" scenarios="1" selectLockedCells="1" selectUnlockedCells="1"/>
  <printOptions/>
  <pageMargins left="0.75" right="0.75" top="1" bottom="1" header="0.5" footer="0.5"/>
  <pageSetup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J23"/>
  <sheetViews>
    <sheetView showGridLines="0" zoomScalePageLayoutView="0" workbookViewId="0" topLeftCell="A1">
      <selection activeCell="B22" sqref="B22"/>
    </sheetView>
  </sheetViews>
  <sheetFormatPr defaultColWidth="9.140625" defaultRowHeight="12.75"/>
  <cols>
    <col min="1" max="1" width="21.421875" style="0" bestFit="1" customWidth="1"/>
    <col min="2" max="2" width="11.57421875" style="21" bestFit="1" customWidth="1"/>
    <col min="3" max="4" width="11.57421875" style="21" customWidth="1"/>
    <col min="5" max="5" width="9.140625" style="21" customWidth="1"/>
    <col min="6" max="6" width="6.7109375" style="21" bestFit="1" customWidth="1"/>
    <col min="7" max="7" width="14.140625" style="21" customWidth="1"/>
    <col min="8" max="10" width="13.8515625" style="21" customWidth="1"/>
    <col min="11" max="16384" width="9.140625" style="21" customWidth="1"/>
  </cols>
  <sheetData>
    <row r="1" ht="13.5" thickBot="1">
      <c r="A1" s="21"/>
    </row>
    <row r="2" spans="1:10" ht="12.75">
      <c r="A2" s="654" t="s">
        <v>217</v>
      </c>
      <c r="B2" s="655"/>
      <c r="C2" s="655"/>
      <c r="D2" s="655"/>
      <c r="E2" s="655"/>
      <c r="F2" s="655"/>
      <c r="G2" s="655"/>
      <c r="H2" s="655"/>
      <c r="I2" s="655"/>
      <c r="J2" s="656"/>
    </row>
    <row r="3" spans="1:10" ht="12.75">
      <c r="A3" s="35"/>
      <c r="B3" s="36"/>
      <c r="C3" s="36"/>
      <c r="D3" s="36"/>
      <c r="E3" s="36"/>
      <c r="F3" s="36"/>
      <c r="G3" s="36"/>
      <c r="H3" s="36"/>
      <c r="I3" s="36"/>
      <c r="J3" s="37"/>
    </row>
    <row r="4" spans="1:10" ht="12.75">
      <c r="A4" s="659" t="s">
        <v>223</v>
      </c>
      <c r="B4" s="660"/>
      <c r="C4" s="36"/>
      <c r="D4" s="36"/>
      <c r="E4" s="36"/>
      <c r="F4" s="25" t="s">
        <v>224</v>
      </c>
      <c r="G4" s="26"/>
      <c r="H4" s="27"/>
      <c r="I4" s="27"/>
      <c r="J4" s="37"/>
    </row>
    <row r="5" spans="1:10" ht="12.75">
      <c r="A5" s="657" t="s">
        <v>220</v>
      </c>
      <c r="B5" s="665" t="s">
        <v>219</v>
      </c>
      <c r="C5" s="666"/>
      <c r="D5" s="667"/>
      <c r="E5" s="36"/>
      <c r="F5" s="663" t="s">
        <v>212</v>
      </c>
      <c r="G5" s="663"/>
      <c r="H5" s="668" t="s">
        <v>216</v>
      </c>
      <c r="I5" s="669"/>
      <c r="J5" s="670"/>
    </row>
    <row r="6" spans="1:10" ht="12.75">
      <c r="A6" s="658"/>
      <c r="B6" s="22" t="s">
        <v>198</v>
      </c>
      <c r="C6" s="22" t="s">
        <v>199</v>
      </c>
      <c r="D6" s="22" t="s">
        <v>200</v>
      </c>
      <c r="E6" s="36"/>
      <c r="F6" s="22" t="s">
        <v>147</v>
      </c>
      <c r="G6" s="22" t="s">
        <v>148</v>
      </c>
      <c r="H6" s="22" t="s">
        <v>214</v>
      </c>
      <c r="I6" s="22" t="s">
        <v>213</v>
      </c>
      <c r="J6" s="38" t="s">
        <v>215</v>
      </c>
    </row>
    <row r="7" spans="1:10" ht="12.75">
      <c r="A7" s="41" t="s">
        <v>196</v>
      </c>
      <c r="B7" s="522">
        <v>58.37585365853659</v>
      </c>
      <c r="C7" s="522">
        <v>54.45501742160279</v>
      </c>
      <c r="D7" s="522">
        <v>50.56317073170732</v>
      </c>
      <c r="E7" s="36"/>
      <c r="F7" s="22" t="s">
        <v>202</v>
      </c>
      <c r="G7" s="28" t="s">
        <v>203</v>
      </c>
      <c r="H7" s="482">
        <v>0</v>
      </c>
      <c r="I7" s="482">
        <v>0</v>
      </c>
      <c r="J7" s="483">
        <v>0</v>
      </c>
    </row>
    <row r="8" spans="1:10" ht="12.75">
      <c r="A8" s="41" t="s">
        <v>197</v>
      </c>
      <c r="B8" s="522">
        <v>63.11</v>
      </c>
      <c r="C8" s="522">
        <v>58.82</v>
      </c>
      <c r="D8" s="522">
        <v>54.53</v>
      </c>
      <c r="E8" s="36"/>
      <c r="F8" s="22" t="s">
        <v>204</v>
      </c>
      <c r="G8" s="28" t="s">
        <v>205</v>
      </c>
      <c r="H8" s="531">
        <v>1638.66</v>
      </c>
      <c r="I8" s="531">
        <v>1992.11</v>
      </c>
      <c r="J8" s="532">
        <v>1265.89</v>
      </c>
    </row>
    <row r="9" spans="1:10" ht="12.75">
      <c r="A9" s="41" t="s">
        <v>84</v>
      </c>
      <c r="B9" s="522">
        <v>97.69</v>
      </c>
      <c r="C9" s="522">
        <v>88.93</v>
      </c>
      <c r="D9" s="522">
        <v>79.88</v>
      </c>
      <c r="E9" s="36"/>
      <c r="F9" s="22" t="s">
        <v>206</v>
      </c>
      <c r="G9" s="28" t="s">
        <v>207</v>
      </c>
      <c r="H9" s="531">
        <v>1973.79</v>
      </c>
      <c r="I9" s="531">
        <v>2445.06</v>
      </c>
      <c r="J9" s="532">
        <v>1492.37</v>
      </c>
    </row>
    <row r="10" spans="1:10" ht="12.75">
      <c r="A10" s="43" t="s">
        <v>201</v>
      </c>
      <c r="B10" s="523"/>
      <c r="C10" s="524"/>
      <c r="D10" s="522">
        <v>25.28158536585366</v>
      </c>
      <c r="E10" s="36"/>
      <c r="F10" s="22" t="s">
        <v>208</v>
      </c>
      <c r="G10" s="28" t="s">
        <v>209</v>
      </c>
      <c r="H10" s="531">
        <v>2308.92</v>
      </c>
      <c r="I10" s="531">
        <v>2898.01</v>
      </c>
      <c r="J10" s="532">
        <v>1718.84</v>
      </c>
    </row>
    <row r="11" spans="1:10" ht="12.75">
      <c r="A11" s="39"/>
      <c r="B11" s="36"/>
      <c r="C11" s="36"/>
      <c r="D11" s="36"/>
      <c r="E11" s="36"/>
      <c r="F11" s="23" t="s">
        <v>210</v>
      </c>
      <c r="G11" s="29" t="s">
        <v>211</v>
      </c>
      <c r="H11" s="531">
        <v>2644.05</v>
      </c>
      <c r="I11" s="531">
        <v>3350.96</v>
      </c>
      <c r="J11" s="532">
        <v>1945.31</v>
      </c>
    </row>
    <row r="12" ht="13.5" thickBot="1">
      <c r="A12" s="21"/>
    </row>
    <row r="13" spans="1:10" ht="12.75">
      <c r="A13" s="654" t="s">
        <v>218</v>
      </c>
      <c r="B13" s="655"/>
      <c r="C13" s="655"/>
      <c r="D13" s="655"/>
      <c r="E13" s="655"/>
      <c r="F13" s="655"/>
      <c r="G13" s="655"/>
      <c r="H13" s="655"/>
      <c r="I13" s="655"/>
      <c r="J13" s="656"/>
    </row>
    <row r="14" spans="1:10" ht="12.75">
      <c r="A14" s="39"/>
      <c r="B14" s="36"/>
      <c r="C14" s="36"/>
      <c r="D14" s="36"/>
      <c r="E14" s="36"/>
      <c r="F14" s="36"/>
      <c r="G14" s="36"/>
      <c r="H14" s="36"/>
      <c r="I14" s="36"/>
      <c r="J14" s="37"/>
    </row>
    <row r="15" spans="1:10" ht="12.75">
      <c r="A15" s="659" t="s">
        <v>221</v>
      </c>
      <c r="B15" s="660"/>
      <c r="C15" s="36"/>
      <c r="D15" s="36"/>
      <c r="E15" s="36"/>
      <c r="F15" s="25" t="s">
        <v>222</v>
      </c>
      <c r="G15" s="26"/>
      <c r="H15" s="33"/>
      <c r="I15" s="33"/>
      <c r="J15" s="44"/>
    </row>
    <row r="16" spans="1:10" ht="12.75">
      <c r="A16" s="657" t="s">
        <v>220</v>
      </c>
      <c r="B16" s="665" t="s">
        <v>219</v>
      </c>
      <c r="C16" s="666"/>
      <c r="D16" s="667"/>
      <c r="E16" s="36"/>
      <c r="F16" s="663" t="s">
        <v>212</v>
      </c>
      <c r="G16" s="663"/>
      <c r="H16" s="661" t="s">
        <v>216</v>
      </c>
      <c r="I16" s="661"/>
      <c r="J16" s="662"/>
    </row>
    <row r="17" spans="1:10" ht="12.75">
      <c r="A17" s="658"/>
      <c r="B17" s="22" t="s">
        <v>198</v>
      </c>
      <c r="C17" s="22" t="s">
        <v>199</v>
      </c>
      <c r="D17" s="22" t="s">
        <v>200</v>
      </c>
      <c r="E17" s="36"/>
      <c r="F17" s="22" t="s">
        <v>147</v>
      </c>
      <c r="G17" s="22" t="s">
        <v>148</v>
      </c>
      <c r="H17" s="34" t="s">
        <v>214</v>
      </c>
      <c r="I17" s="34" t="s">
        <v>213</v>
      </c>
      <c r="J17" s="45" t="s">
        <v>215</v>
      </c>
    </row>
    <row r="18" spans="1:10" ht="12.75">
      <c r="A18" s="41" t="s">
        <v>196</v>
      </c>
      <c r="B18" s="51">
        <f>'Lavoro-Trasformazione'!K10*B7</f>
        <v>0</v>
      </c>
      <c r="C18" s="51">
        <f>'Lavoro-Trasformazione'!P10*CostoLavoro!C7</f>
        <v>0</v>
      </c>
      <c r="D18" s="51">
        <f>'Lavoro-Trasformazione'!U10*CostoLavoro!D7</f>
        <v>0</v>
      </c>
      <c r="E18" s="36"/>
      <c r="F18" s="22" t="s">
        <v>202</v>
      </c>
      <c r="G18" s="28" t="s">
        <v>203</v>
      </c>
      <c r="H18" s="24">
        <v>0</v>
      </c>
      <c r="I18" s="24">
        <v>0</v>
      </c>
      <c r="J18" s="42">
        <v>0</v>
      </c>
    </row>
    <row r="19" spans="1:10" ht="12.75">
      <c r="A19" s="41" t="s">
        <v>197</v>
      </c>
      <c r="B19" s="51">
        <f>'Lavoro-Trasformazione'!K12*B8</f>
        <v>0</v>
      </c>
      <c r="C19" s="51">
        <f>'Lavoro-Trasformazione'!P12*CostoLavoro!C8</f>
        <v>0</v>
      </c>
      <c r="D19" s="51">
        <f>'Lavoro-Trasformazione'!U12*CostoLavoro!D8</f>
        <v>0</v>
      </c>
      <c r="E19" s="36"/>
      <c r="F19" s="22" t="s">
        <v>204</v>
      </c>
      <c r="G19" s="28" t="s">
        <v>205</v>
      </c>
      <c r="H19" s="59">
        <f>'Lavoro-Trasformazione'!K28*H8</f>
        <v>0</v>
      </c>
      <c r="I19" s="59">
        <f>'Lavoro-Trasformazione'!P28*I8</f>
        <v>0</v>
      </c>
      <c r="J19" s="59">
        <f>'Lavoro-Trasformazione'!U28*J8</f>
        <v>0</v>
      </c>
    </row>
    <row r="20" spans="1:10" ht="12.75">
      <c r="A20" s="46" t="s">
        <v>84</v>
      </c>
      <c r="B20" s="51">
        <f>'Lavoro-Trasformazione'!K14*B9</f>
        <v>0</v>
      </c>
      <c r="C20" s="51">
        <f>'Lavoro-Trasformazione'!P14*CostoLavoro!C9</f>
        <v>0</v>
      </c>
      <c r="D20" s="51">
        <f>'Lavoro-Trasformazione'!U14*CostoLavoro!D9</f>
        <v>0</v>
      </c>
      <c r="E20" s="36"/>
      <c r="F20" s="22" t="s">
        <v>206</v>
      </c>
      <c r="G20" s="28" t="s">
        <v>207</v>
      </c>
      <c r="H20" s="59">
        <f>'Lavoro-Trasformazione'!K30*H9</f>
        <v>0</v>
      </c>
      <c r="I20" s="59">
        <f>'Lavoro-Trasformazione'!P30*I9</f>
        <v>0</v>
      </c>
      <c r="J20" s="59">
        <f>'Lavoro-Trasformazione'!U30*J9</f>
        <v>0</v>
      </c>
    </row>
    <row r="21" spans="1:10" ht="12.75">
      <c r="A21" s="47" t="s">
        <v>225</v>
      </c>
      <c r="B21" s="23"/>
      <c r="C21" s="32">
        <f>SUM(B18:D20)</f>
        <v>0</v>
      </c>
      <c r="D21" s="23"/>
      <c r="E21" s="36"/>
      <c r="F21" s="22" t="s">
        <v>208</v>
      </c>
      <c r="G21" s="28" t="s">
        <v>209</v>
      </c>
      <c r="H21" s="59">
        <f>'Lavoro-Trasformazione'!K32*H10</f>
        <v>0</v>
      </c>
      <c r="I21" s="59">
        <f>'Lavoro-Trasformazione'!P32*I10</f>
        <v>0</v>
      </c>
      <c r="J21" s="59">
        <f>'Lavoro-Trasformazione'!U32*J10</f>
        <v>0</v>
      </c>
    </row>
    <row r="22" spans="1:10" ht="12.75">
      <c r="A22" s="35"/>
      <c r="B22" s="36"/>
      <c r="C22" s="36"/>
      <c r="D22" s="36"/>
      <c r="E22" s="36"/>
      <c r="F22" s="30" t="s">
        <v>210</v>
      </c>
      <c r="G22" s="31" t="s">
        <v>211</v>
      </c>
      <c r="H22" s="59">
        <f>'Lavoro-Trasformazione'!K34*H11</f>
        <v>0</v>
      </c>
      <c r="I22" s="59">
        <f>'Lavoro-Trasformazione'!P34*I11</f>
        <v>0</v>
      </c>
      <c r="J22" s="59">
        <f>'Lavoro-Trasformazione'!U34*J11</f>
        <v>0</v>
      </c>
    </row>
    <row r="23" spans="1:10" ht="13.5" thickBot="1">
      <c r="A23" s="48"/>
      <c r="B23" s="40"/>
      <c r="C23" s="40"/>
      <c r="D23" s="40"/>
      <c r="E23" s="40"/>
      <c r="F23" s="664" t="s">
        <v>226</v>
      </c>
      <c r="G23" s="664"/>
      <c r="H23" s="49"/>
      <c r="I23" s="60">
        <f>IF(SUM(H18:J22)&gt;0,SUM(H18:J22)/'Lavoro-Trasformazione'!Z36,0)</f>
        <v>0</v>
      </c>
      <c r="J23" s="50"/>
    </row>
  </sheetData>
  <sheetProtection sheet="1" objects="1" scenarios="1" selectLockedCells="1" selectUnlockedCells="1"/>
  <mergeCells count="13">
    <mergeCell ref="F23:G23"/>
    <mergeCell ref="B5:D5"/>
    <mergeCell ref="H5:J5"/>
    <mergeCell ref="A16:A17"/>
    <mergeCell ref="B16:D16"/>
    <mergeCell ref="A15:B15"/>
    <mergeCell ref="F16:G16"/>
    <mergeCell ref="A2:J2"/>
    <mergeCell ref="A5:A6"/>
    <mergeCell ref="A13:J13"/>
    <mergeCell ref="A4:B4"/>
    <mergeCell ref="H16:J16"/>
    <mergeCell ref="F5:G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S85"/>
  <sheetViews>
    <sheetView zoomScalePageLayoutView="0" workbookViewId="0" topLeftCell="A1">
      <pane xSplit="2" topLeftCell="C1" activePane="topRight" state="frozen"/>
      <selection pane="topLeft" activeCell="B22" sqref="B22"/>
      <selection pane="topRight" activeCell="B22" sqref="B22"/>
    </sheetView>
  </sheetViews>
  <sheetFormatPr defaultColWidth="9.140625" defaultRowHeight="12.75"/>
  <cols>
    <col min="1" max="1" width="5.8515625" style="81" customWidth="1"/>
    <col min="2" max="2" width="41.7109375" style="71" bestFit="1" customWidth="1"/>
    <col min="3" max="3" width="28.140625" style="0" customWidth="1"/>
    <col min="4" max="4" width="9.8515625" style="0" customWidth="1"/>
    <col min="5" max="5" width="9.28125" style="0" bestFit="1" customWidth="1"/>
    <col min="6" max="6" width="10.00390625" style="0" customWidth="1"/>
    <col min="7" max="7" width="10.140625" style="0" bestFit="1" customWidth="1"/>
    <col min="9" max="9" width="10.00390625" style="0" customWidth="1"/>
    <col min="10" max="10" width="10.140625" style="0" bestFit="1" customWidth="1"/>
    <col min="11" max="11" width="11.00390625" style="0" customWidth="1"/>
    <col min="12" max="12" width="9.00390625" style="0" customWidth="1"/>
    <col min="14" max="14" width="9.28125" style="0" customWidth="1"/>
    <col min="15" max="15" width="8.421875" style="0" customWidth="1"/>
    <col min="16" max="16" width="9.28125" style="0" customWidth="1"/>
    <col min="17" max="17" width="9.28125" style="0" bestFit="1" customWidth="1"/>
    <col min="18" max="18" width="11.00390625" style="0" customWidth="1"/>
    <col min="19" max="19" width="15.28125" style="0" bestFit="1" customWidth="1"/>
  </cols>
  <sheetData>
    <row r="1" spans="2:3" ht="26.25" customHeight="1">
      <c r="B1" s="75" t="s">
        <v>240</v>
      </c>
      <c r="C1" s="110" t="str">
        <f>Anagrafica!AF7&amp;" - "&amp;Anagrafica!AF13</f>
        <v> - </v>
      </c>
    </row>
    <row r="2" spans="2:19" s="7" customFormat="1" ht="12.75">
      <c r="B2" s="73" t="s">
        <v>10</v>
      </c>
      <c r="C2" s="73"/>
      <c r="D2" s="673" t="s">
        <v>157</v>
      </c>
      <c r="E2" s="673"/>
      <c r="F2" s="674"/>
      <c r="G2" s="671" t="s">
        <v>168</v>
      </c>
      <c r="H2" s="671"/>
      <c r="I2" s="671"/>
      <c r="J2" s="671"/>
      <c r="K2" s="685" t="s">
        <v>167</v>
      </c>
      <c r="L2" s="671" t="s">
        <v>169</v>
      </c>
      <c r="M2" s="671"/>
      <c r="N2" s="671"/>
      <c r="O2" s="671"/>
      <c r="P2" s="671"/>
      <c r="Q2" s="671" t="s">
        <v>195</v>
      </c>
      <c r="R2" s="671"/>
      <c r="S2" s="308" t="s">
        <v>381</v>
      </c>
    </row>
    <row r="3" spans="1:19" s="7" customFormat="1" ht="14.25">
      <c r="A3" s="70" t="s">
        <v>147</v>
      </c>
      <c r="B3" s="16" t="s">
        <v>148</v>
      </c>
      <c r="C3" s="16" t="s">
        <v>160</v>
      </c>
      <c r="D3" s="69" t="s">
        <v>158</v>
      </c>
      <c r="E3" s="16" t="s">
        <v>159</v>
      </c>
      <c r="F3" s="16" t="s">
        <v>174</v>
      </c>
      <c r="G3" s="16" t="s">
        <v>155</v>
      </c>
      <c r="H3" s="16" t="s">
        <v>156</v>
      </c>
      <c r="I3" s="16" t="s">
        <v>166</v>
      </c>
      <c r="J3" s="16" t="s">
        <v>192</v>
      </c>
      <c r="K3" s="685"/>
      <c r="L3" s="16" t="s">
        <v>170</v>
      </c>
      <c r="M3" s="16" t="s">
        <v>175</v>
      </c>
      <c r="N3" s="16" t="s">
        <v>172</v>
      </c>
      <c r="O3" s="16" t="s">
        <v>171</v>
      </c>
      <c r="P3" s="16" t="s">
        <v>173</v>
      </c>
      <c r="Q3" s="16" t="s">
        <v>227</v>
      </c>
      <c r="R3" s="16" t="s">
        <v>228</v>
      </c>
      <c r="S3" s="309" t="s">
        <v>382</v>
      </c>
    </row>
    <row r="4" spans="1:19" ht="12.75">
      <c r="A4" s="82" t="s">
        <v>17</v>
      </c>
      <c r="B4" s="71" t="str">
        <f>VLOOKUP($A4,TabAttività!$A$2:$C$62,3,FALSE)</f>
        <v>CR. Cereali da granella</v>
      </c>
      <c r="C4" s="67" t="str">
        <f>VLOOKUP($A4,TabAttività!$A$2:$F$62,6,FALSE)</f>
        <v>Cereali da granella</v>
      </c>
      <c r="D4" s="19">
        <f>'Colture-Allevamenti'!G8+'Colture-Allevamenti'!I8+'Colture-Allevamenti'!K8</f>
        <v>0</v>
      </c>
      <c r="E4" s="10">
        <f>VLOOKUP($C4,TabLavoro!$B$2:$E$34,2,FALSE)</f>
        <v>0.25</v>
      </c>
      <c r="F4" s="10">
        <f>D4*VLOOKUP(A4,TabAttività!$A$2:$G$62,7,FALSE)</f>
        <v>0</v>
      </c>
      <c r="G4" s="15">
        <f>VLOOKUP($A4,TabAttività!$A$2:$D$62,4,FALSE)</f>
        <v>936.2166666666666</v>
      </c>
      <c r="H4" s="15">
        <f>VLOOKUP($A4,TabAttività!$A$2:$E$62,5,FALSE)</f>
        <v>134.27555555555554</v>
      </c>
      <c r="I4" s="15">
        <f>IF(D4&gt;0,H4*(E4/D4)^0.25,0)</f>
        <v>0</v>
      </c>
      <c r="J4" s="15">
        <f>G4-I4</f>
        <v>936.2166666666666</v>
      </c>
      <c r="K4" s="10">
        <f>D4*J4</f>
        <v>0</v>
      </c>
      <c r="L4" s="14">
        <f>VLOOKUP($C4,TabLavoro!$B$2:$E$38,3,FALSE)</f>
        <v>25</v>
      </c>
      <c r="M4" s="14">
        <f>VLOOKUP($C4,TabLavoro!$B$2:$E$38,4,FALSE)</f>
        <v>5</v>
      </c>
      <c r="N4" s="15">
        <f>F4</f>
        <v>0</v>
      </c>
      <c r="O4" s="14">
        <f>IF(N4&gt;0,L4*(E4/N4)^(1/M4),"")</f>
      </c>
      <c r="P4" s="9">
        <f>IF(AND(N4&gt;0,L4&gt;0),N4*O4,0)</f>
        <v>0</v>
      </c>
      <c r="Q4" s="10">
        <f>VLOOKUP($A4,TabAttività!$A$2:$I$62,9,FALSE)</f>
        <v>46.48</v>
      </c>
      <c r="R4" s="10">
        <f>'Colture-Allevamenti'!I8*Q4</f>
        <v>0</v>
      </c>
      <c r="S4" s="217"/>
    </row>
    <row r="5" spans="1:19" ht="12.75">
      <c r="A5" s="82" t="s">
        <v>21</v>
      </c>
      <c r="B5" s="71" t="str">
        <f>VLOOKUP($A5,TabAttività!$A$2:$C$62,3,FALSE)</f>
        <v>P. Patata</v>
      </c>
      <c r="C5" s="67" t="str">
        <f>VLOOKUP($A5,TabAttività!$A$2:$F$62,6,FALSE)</f>
        <v>Patata</v>
      </c>
      <c r="D5" s="19">
        <f>'Colture-Allevamenti'!G10+'Colture-Allevamenti'!I10+'Colture-Allevamenti'!K10</f>
        <v>0</v>
      </c>
      <c r="E5" s="10">
        <f>VLOOKUP($C5,TabLavoro!$B$2:$E$34,2,FALSE)</f>
        <v>0.1</v>
      </c>
      <c r="F5" s="10">
        <f>D5*VLOOKUP(A5,TabAttività!$A$2:$G$62,7,FALSE)</f>
        <v>0</v>
      </c>
      <c r="G5" s="15">
        <f>VLOOKUP($A5,TabAttività!$A$2:$D$62,4,FALSE)</f>
        <v>6973.318872017353</v>
      </c>
      <c r="H5" s="15">
        <f>VLOOKUP($A5,TabAttività!$A$2:$E$62,5,FALSE)</f>
        <v>1629.2091879985685</v>
      </c>
      <c r="I5" s="15">
        <f aca="true" t="shared" si="0" ref="I5:I31">IF(D5&gt;0,H5*(E5/D5)^0.25,0)</f>
        <v>0</v>
      </c>
      <c r="J5" s="15">
        <f aca="true" t="shared" si="1" ref="J5:J31">G5-I5</f>
        <v>6973.318872017353</v>
      </c>
      <c r="K5" s="10">
        <f aca="true" t="shared" si="2" ref="K5:K31">D5*J5</f>
        <v>0</v>
      </c>
      <c r="L5" s="14">
        <f>VLOOKUP($C5,TabLavoro!$B$2:$E$38,3,FALSE)</f>
        <v>100</v>
      </c>
      <c r="M5" s="14">
        <f>VLOOKUP($C5,TabLavoro!$B$2:$E$38,4,FALSE)</f>
        <v>5</v>
      </c>
      <c r="N5" s="15">
        <f>F5</f>
        <v>0</v>
      </c>
      <c r="O5" s="14">
        <f aca="true" t="shared" si="3" ref="O5:O31">IF(N5&gt;0,L5*(E5/N5)^(1/M5),"")</f>
      </c>
      <c r="P5" s="9">
        <f>IF(AND(N5&gt;0,L5&gt;0),N5*O5,0)</f>
        <v>0</v>
      </c>
      <c r="Q5" s="10">
        <f>VLOOKUP($A5,TabAttività!$A$2:$I$62,9,FALSE)</f>
        <v>154.94</v>
      </c>
      <c r="R5" s="10">
        <f>'Colture-Allevamenti'!I10*Q5</f>
        <v>0</v>
      </c>
      <c r="S5" s="217"/>
    </row>
    <row r="6" spans="1:19" ht="12.75">
      <c r="A6" s="82" t="s">
        <v>24</v>
      </c>
      <c r="B6" s="71" t="str">
        <f>VLOOKUP($A6,TabAttività!$A$2:$C$62,3,FALSE)</f>
        <v>PI. Piante Industriali</v>
      </c>
      <c r="C6" s="67" t="str">
        <f>VLOOKUP($A6,TabAttività!$A$2:$F$62,6,FALSE)</f>
        <v>Altre piante industriali</v>
      </c>
      <c r="D6" s="19">
        <f>'Colture-Allevamenti'!G12+'Colture-Allevamenti'!I12+'Colture-Allevamenti'!K12</f>
        <v>0</v>
      </c>
      <c r="E6" s="10">
        <f>VLOOKUP($C6,TabLavoro!$B$2:$E$34,2,FALSE)</f>
        <v>0.25</v>
      </c>
      <c r="F6" s="10">
        <f>D6*VLOOKUP(A6,TabAttività!$A$2:$G$62,7,FALSE)</f>
        <v>0</v>
      </c>
      <c r="G6" s="15">
        <f>VLOOKUP($A6,TabAttività!$A$2:$D$62,4,FALSE)</f>
        <v>888.4516774791472</v>
      </c>
      <c r="H6" s="15">
        <f>VLOOKUP($A6,TabAttività!$A$2:$E$62,5,FALSE)</f>
        <v>204.29152919369784</v>
      </c>
      <c r="I6" s="15">
        <f t="shared" si="0"/>
        <v>0</v>
      </c>
      <c r="J6" s="15">
        <f t="shared" si="1"/>
        <v>888.4516774791472</v>
      </c>
      <c r="K6" s="10">
        <f t="shared" si="2"/>
        <v>0</v>
      </c>
      <c r="L6" s="14">
        <f>VLOOKUP($C6,TabLavoro!$B$2:$E$38,3,FALSE)</f>
        <v>25</v>
      </c>
      <c r="M6" s="14">
        <f>VLOOKUP($C6,TabLavoro!$B$2:$E$38,4,FALSE)</f>
        <v>5</v>
      </c>
      <c r="N6" s="15">
        <f>F6</f>
        <v>0</v>
      </c>
      <c r="O6" s="14">
        <f t="shared" si="3"/>
      </c>
      <c r="P6" s="9">
        <f>IF(AND(N6&gt;0,L6&gt;0),N6*O6,0)</f>
        <v>0</v>
      </c>
      <c r="Q6" s="10">
        <f>VLOOKUP($A6,TabAttività!$A$2:$I$62,9,FALSE)</f>
        <v>38.73</v>
      </c>
      <c r="R6" s="10">
        <f>'Colture-Allevamenti'!I12*Q6</f>
        <v>0</v>
      </c>
      <c r="S6" s="217"/>
    </row>
    <row r="7" spans="1:19" ht="12.75">
      <c r="A7" s="82" t="s">
        <v>27</v>
      </c>
      <c r="B7" s="71" t="str">
        <f>VLOOKUP($A7,TabAttività!$A$2:$C$62,3,FALSE)</f>
        <v>O. Ortaggi</v>
      </c>
      <c r="C7" s="67" t="str">
        <f>VLOOKUP($A7,TabAttività!$A$2:$F$62,6,FALSE)</f>
        <v>Ortaggi</v>
      </c>
      <c r="D7" s="19">
        <f>'Colture-Allevamenti'!G14+'Colture-Allevamenti'!I14+'Colture-Allevamenti'!K14</f>
        <v>0</v>
      </c>
      <c r="E7" s="10">
        <f>VLOOKUP($C7,TabLavoro!$B$2:$E$34,2,FALSE)</f>
        <v>0.05</v>
      </c>
      <c r="F7" s="10">
        <f>D7*VLOOKUP(A7,TabAttività!$A$2:$G$62,7,FALSE)</f>
        <v>0</v>
      </c>
      <c r="G7" s="15">
        <f>VLOOKUP($A7,TabAttività!$A$2:$D$62,4,FALSE)</f>
        <v>16241.71511627907</v>
      </c>
      <c r="H7" s="15">
        <f>VLOOKUP($A7,TabAttività!$A$2:$E$62,5,FALSE)</f>
        <v>2859.7742802270714</v>
      </c>
      <c r="I7" s="15">
        <f t="shared" si="0"/>
        <v>0</v>
      </c>
      <c r="J7" s="15">
        <f t="shared" si="1"/>
        <v>16241.71511627907</v>
      </c>
      <c r="K7" s="10">
        <f t="shared" si="2"/>
        <v>0</v>
      </c>
      <c r="L7" s="14">
        <f>VLOOKUP($C7,TabLavoro!$B$2:$E$38,3,FALSE)</f>
        <v>400</v>
      </c>
      <c r="M7" s="14">
        <f>VLOOKUP($C7,TabLavoro!$B$2:$E$38,4,FALSE)</f>
        <v>4</v>
      </c>
      <c r="N7" s="15">
        <f>F7</f>
        <v>0</v>
      </c>
      <c r="O7" s="207">
        <f t="shared" si="3"/>
      </c>
      <c r="P7" s="9">
        <f>IF(AND(N7&gt;0,L7&gt;0),N7*O7,0)</f>
        <v>0</v>
      </c>
      <c r="Q7" s="10">
        <f>VLOOKUP($A7,TabAttività!$A$2:$I$62,9,FALSE)</f>
        <v>361.52</v>
      </c>
      <c r="R7" s="10">
        <f>'Colture-Allevamenti'!I14*Q7</f>
        <v>0</v>
      </c>
      <c r="S7" s="287">
        <f>D7*G7*1.25</f>
        <v>0</v>
      </c>
    </row>
    <row r="8" spans="1:19" ht="12.75">
      <c r="A8" s="82" t="s">
        <v>30</v>
      </c>
      <c r="B8" s="71" t="str">
        <f>VLOOKUP($A8,TabAttività!$A$2:$C$62,3,FALSE)</f>
        <v>OF. Orto familiare</v>
      </c>
      <c r="C8" s="67" t="str">
        <f>VLOOKUP($A8,TabAttività!$A$2:$F$62,6,FALSE)</f>
        <v>Ortaggi</v>
      </c>
      <c r="D8" s="431"/>
      <c r="E8" s="432"/>
      <c r="F8" s="432"/>
      <c r="G8" s="54"/>
      <c r="H8" s="54"/>
      <c r="I8" s="54"/>
      <c r="J8" s="54"/>
      <c r="K8" s="432"/>
      <c r="L8" s="53"/>
      <c r="M8" s="53"/>
      <c r="N8" s="54"/>
      <c r="O8" s="53"/>
      <c r="P8" s="55"/>
      <c r="Q8" s="432"/>
      <c r="R8" s="432"/>
      <c r="S8" s="217"/>
    </row>
    <row r="9" spans="1:19" ht="12.75">
      <c r="A9" s="82" t="s">
        <v>32</v>
      </c>
      <c r="B9" s="71" t="str">
        <f>VLOOKUP($A9,TabAttività!$A$2:$C$62,3,FALSE)</f>
        <v>PAM. Piante medicinali e aromatiche</v>
      </c>
      <c r="C9" s="67" t="str">
        <f>VLOOKUP($A9,TabAttività!$A$2:$F$62,6,FALSE)</f>
        <v>Piante Medicinali e Aromatiche</v>
      </c>
      <c r="D9" s="19">
        <f>'Colture-Allevamenti'!G18+'Colture-Allevamenti'!I18+'Colture-Allevamenti'!K18</f>
        <v>0</v>
      </c>
      <c r="E9" s="10">
        <f>VLOOKUP($C9,TabLavoro!$B$2:$E$34,2,FALSE)</f>
        <v>0.13</v>
      </c>
      <c r="F9" s="10">
        <f>D9*VLOOKUP(A9,TabAttività!$A$2:$G$62,7,FALSE)</f>
        <v>0</v>
      </c>
      <c r="G9" s="15">
        <f>VLOOKUP($A9,TabAttività!$A$2:$D$62,4,FALSE)</f>
        <v>10375.683196060878</v>
      </c>
      <c r="H9" s="15">
        <f>VLOOKUP($A9,TabAttività!$A$2:$E$62,5,FALSE)</f>
        <v>2386.4005192479854</v>
      </c>
      <c r="I9" s="15">
        <f t="shared" si="0"/>
        <v>0</v>
      </c>
      <c r="J9" s="15">
        <f t="shared" si="1"/>
        <v>10375.683196060878</v>
      </c>
      <c r="K9" s="10">
        <f t="shared" si="2"/>
        <v>0</v>
      </c>
      <c r="L9" s="14">
        <f>VLOOKUP($C9,TabLavoro!$B$2:$E$38,3,FALSE)</f>
        <v>200</v>
      </c>
      <c r="M9" s="14">
        <f>VLOOKUP($C9,TabLavoro!$B$2:$E$38,4,FALSE)</f>
        <v>5</v>
      </c>
      <c r="N9" s="15">
        <f>F9</f>
        <v>0</v>
      </c>
      <c r="O9" s="14">
        <f t="shared" si="3"/>
      </c>
      <c r="P9" s="9">
        <f>IF(AND(N9&gt;0,L9&gt;0),N9*O9,0)</f>
        <v>0</v>
      </c>
      <c r="Q9" s="10">
        <f>VLOOKUP($A9,TabAttività!$A$2:$I$62,9,FALSE)</f>
        <v>309.87</v>
      </c>
      <c r="R9" s="10">
        <f>'Colture-Allevamenti'!I18*Q9</f>
        <v>0</v>
      </c>
      <c r="S9" s="217"/>
    </row>
    <row r="10" spans="1:19" ht="12.75">
      <c r="A10" s="82" t="s">
        <v>35</v>
      </c>
      <c r="B10" s="71" t="str">
        <f>VLOOKUP($A10,TabAttività!$A$2:$C$62,3,FALSE)</f>
        <v>FF. Fiori</v>
      </c>
      <c r="C10" s="67" t="str">
        <f>VLOOKUP($A10,TabAttività!$A$2:$F$62,6,FALSE)</f>
        <v>Fiori in piena aria</v>
      </c>
      <c r="D10" s="19">
        <f>'Colture-Allevamenti'!G20+'Colture-Allevamenti'!I20+'Colture-Allevamenti'!K20</f>
        <v>0</v>
      </c>
      <c r="E10" s="10">
        <f>VLOOKUP($C10,TabLavoro!$B$2:$E$34,2,FALSE)</f>
        <v>0.08</v>
      </c>
      <c r="F10" s="10">
        <f>D10*VLOOKUP(A10,TabAttività!$A$2:$G$62,7,FALSE)</f>
        <v>0</v>
      </c>
      <c r="G10" s="15">
        <f>VLOOKUP($A10,TabAttività!$A$2:$D$62,4,FALSE)</f>
        <v>21027.389865711728</v>
      </c>
      <c r="H10" s="15">
        <f>VLOOKUP($A10,TabAttività!$A$2:$E$62,5,FALSE)</f>
        <v>4836.442882721576</v>
      </c>
      <c r="I10" s="15">
        <f t="shared" si="0"/>
        <v>0</v>
      </c>
      <c r="J10" s="15">
        <f t="shared" si="1"/>
        <v>21027.389865711728</v>
      </c>
      <c r="K10" s="10">
        <f t="shared" si="2"/>
        <v>0</v>
      </c>
      <c r="L10" s="14">
        <f>VLOOKUP($C10,TabLavoro!$B$2:$E$38,3,FALSE)</f>
        <v>600</v>
      </c>
      <c r="M10" s="14">
        <f>VLOOKUP($C10,TabLavoro!$B$2:$E$38,4,FALSE)</f>
        <v>5</v>
      </c>
      <c r="N10" s="15">
        <f>F10</f>
        <v>0</v>
      </c>
      <c r="O10" s="14">
        <f t="shared" si="3"/>
      </c>
      <c r="P10" s="9">
        <f>IF(AND(N10&gt;0,L10&gt;0),N10*O10,0)</f>
        <v>0</v>
      </c>
      <c r="Q10" s="10">
        <f>VLOOKUP($A10,TabAttività!$A$2:$I$62,9,FALSE)</f>
        <v>1032.91</v>
      </c>
      <c r="R10" s="10">
        <f>'Colture-Allevamenti'!I20*Q10</f>
        <v>0</v>
      </c>
      <c r="S10" s="217"/>
    </row>
    <row r="11" spans="1:19" ht="12.75">
      <c r="A11" s="82" t="s">
        <v>38</v>
      </c>
      <c r="B11" s="71" t="str">
        <f>VLOOKUP($A11,TabAttività!$A$2:$C$62,3,FALSE)</f>
        <v>VV. Vivai</v>
      </c>
      <c r="C11" s="67" t="str">
        <f>VLOOKUP($A11,TabAttività!$A$2:$F$62,6,FALSE)</f>
        <v>Vivai</v>
      </c>
      <c r="D11" s="19">
        <f>'Colture-Allevamenti'!G22+'Colture-Allevamenti'!I22+'Colture-Allevamenti'!K22</f>
        <v>0</v>
      </c>
      <c r="E11" s="10">
        <f>VLOOKUP($C11,TabLavoro!$B$2:$E$34,2,FALSE)</f>
        <v>0.08</v>
      </c>
      <c r="F11" s="10">
        <f>D11*VLOOKUP(A11,TabAttività!$A$2:$G$62,7,FALSE)</f>
        <v>0</v>
      </c>
      <c r="G11" s="15">
        <f>VLOOKUP($A11,TabAttività!$A$2:$D$62,4,FALSE)</f>
        <v>347108.2142857143</v>
      </c>
      <c r="H11" s="15">
        <f>VLOOKUP($A11,TabAttività!$A$2:$E$62,5,FALSE)</f>
        <v>70201.76771514179</v>
      </c>
      <c r="I11" s="15">
        <f t="shared" si="0"/>
        <v>0</v>
      </c>
      <c r="J11" s="15">
        <f t="shared" si="1"/>
        <v>347108.2142857143</v>
      </c>
      <c r="K11" s="10">
        <f t="shared" si="2"/>
        <v>0</v>
      </c>
      <c r="L11" s="14">
        <f>VLOOKUP($C11,TabLavoro!$B$2:$E$38,3,FALSE)</f>
        <v>500</v>
      </c>
      <c r="M11" s="14">
        <f>VLOOKUP($C11,TabLavoro!$B$2:$E$38,4,FALSE)</f>
        <v>4</v>
      </c>
      <c r="N11" s="15">
        <f>F11</f>
        <v>0</v>
      </c>
      <c r="O11" s="14">
        <f t="shared" si="3"/>
      </c>
      <c r="P11" s="9">
        <f>IF(AND(N11&gt;0,L11&gt;0),N11*O11,0)</f>
        <v>0</v>
      </c>
      <c r="Q11" s="10">
        <f>VLOOKUP($A11,TabAttività!$A$2:$I$62,9,FALSE)</f>
        <v>1549.37</v>
      </c>
      <c r="R11" s="10">
        <f>'Colture-Allevamenti'!I22*Q11</f>
        <v>0</v>
      </c>
      <c r="S11" s="217"/>
    </row>
    <row r="12" spans="1:19" ht="12.75">
      <c r="A12" s="82" t="s">
        <v>41</v>
      </c>
      <c r="B12" s="71" t="str">
        <f>VLOOKUP($A12,TabAttività!$A$2:$C$62,3,FALSE)</f>
        <v>S. Serre</v>
      </c>
      <c r="C12" s="67" t="str">
        <f>VLOOKUP($A12,TabAttività!$A$2:$F$62,6,FALSE)</f>
        <v>Serre</v>
      </c>
      <c r="D12" s="19">
        <f>'Colture-Allevamenti'!G24+'Colture-Allevamenti'!I24+'Colture-Allevamenti'!K24</f>
        <v>0</v>
      </c>
      <c r="E12" s="10">
        <f>VLOOKUP($C12,TabLavoro!$B$2:$E$34,2,FALSE)</f>
        <v>0.05</v>
      </c>
      <c r="F12" s="10">
        <f>D12*VLOOKUP(A12,TabAttività!$A$2:$G$62,7,FALSE)</f>
        <v>0</v>
      </c>
      <c r="G12" s="15">
        <f>VLOOKUP($A12,TabAttività!$A$2:$D$62,4,FALSE)</f>
        <v>168450.21950760967</v>
      </c>
      <c r="H12" s="15">
        <f>VLOOKUP($A12,TabAttività!$A$2:$E$62,5,FALSE)</f>
        <v>67379.95289167413</v>
      </c>
      <c r="I12" s="15">
        <f t="shared" si="0"/>
        <v>0</v>
      </c>
      <c r="J12" s="15">
        <f t="shared" si="1"/>
        <v>168450.21950760967</v>
      </c>
      <c r="K12" s="10">
        <f t="shared" si="2"/>
        <v>0</v>
      </c>
      <c r="L12" s="14">
        <f>VLOOKUP($C12,TabLavoro!$B$2:$E$38,3,FALSE)</f>
        <v>3000</v>
      </c>
      <c r="M12" s="14">
        <f>VLOOKUP($C12,TabLavoro!$B$2:$E$38,4,FALSE)</f>
        <v>5</v>
      </c>
      <c r="N12" s="15">
        <f>F12</f>
        <v>0</v>
      </c>
      <c r="O12" s="14">
        <f t="shared" si="3"/>
      </c>
      <c r="P12" s="9">
        <f>IF(AND(N12&gt;0,L12&gt;0),N12*O12,0)</f>
        <v>0</v>
      </c>
      <c r="Q12" s="10">
        <f>VLOOKUP($A12,TabAttività!$A$2:$I$62,9,FALSE)</f>
        <v>3098.74</v>
      </c>
      <c r="R12" s="10">
        <f>'Colture-Allevamenti'!I24*Q12</f>
        <v>0</v>
      </c>
      <c r="S12" s="217"/>
    </row>
    <row r="13" spans="1:18" s="117" customFormat="1" ht="12.75">
      <c r="A13" s="497" t="s">
        <v>44</v>
      </c>
      <c r="B13" s="498" t="str">
        <f>VLOOKUP($A13,TabAttività!$A$2:$C$62,3,FALSE)</f>
        <v>PRI. Prato irriguo</v>
      </c>
      <c r="C13" s="481" t="str">
        <f>VLOOKUP($A13,TabAttività!$A$2:$F$62,6,FALSE)</f>
        <v>Prato</v>
      </c>
      <c r="D13" s="19">
        <f>'Colture-Allevamenti'!G26+'Colture-Allevamenti'!I26+'Colture-Allevamenti'!K26</f>
        <v>0</v>
      </c>
      <c r="E13" s="208">
        <f>VLOOKUP($C13,TabLavoro!$B$2:$E$34,2,FALSE)</f>
        <v>1.85</v>
      </c>
      <c r="F13" s="208">
        <f>D13*VLOOKUP(A13,TabAttività!$A$2:$G$62,7,FALSE)</f>
        <v>0</v>
      </c>
      <c r="G13" s="206">
        <f>VLOOKUP($A13,TabAttività!$A$2:$D$62,4,FALSE)</f>
        <v>1163.3634651600767</v>
      </c>
      <c r="H13" s="206">
        <f>VLOOKUP($A13,TabAttività!$A$2:$E$62,5,FALSE)</f>
        <v>210.72929385266193</v>
      </c>
      <c r="I13" s="206">
        <f t="shared" si="0"/>
        <v>0</v>
      </c>
      <c r="J13" s="206">
        <f t="shared" si="1"/>
        <v>1163.3634651600767</v>
      </c>
      <c r="K13" s="208">
        <f t="shared" si="2"/>
        <v>0</v>
      </c>
      <c r="L13" s="53"/>
      <c r="M13" s="53"/>
      <c r="N13" s="54"/>
      <c r="O13" s="53"/>
      <c r="P13" s="55"/>
      <c r="Q13" s="208">
        <f>VLOOKUP($A13,TabAttività!$A$2:$I$62,9,FALSE)</f>
        <v>77.47</v>
      </c>
      <c r="R13" s="208">
        <f>'Colture-Allevamenti'!I26*Q13</f>
        <v>0</v>
      </c>
    </row>
    <row r="14" spans="1:18" s="117" customFormat="1" ht="12.75">
      <c r="A14" s="497" t="s">
        <v>47</v>
      </c>
      <c r="B14" s="498" t="str">
        <f>VLOOKUP($A14,TabAttività!$A$2:$C$62,3,FALSE)</f>
        <v>PR. Prato asciutto</v>
      </c>
      <c r="C14" s="481" t="str">
        <f>VLOOKUP($A14,TabAttività!$A$2:$F$62,6,FALSE)</f>
        <v>Prato</v>
      </c>
      <c r="D14" s="19">
        <f>'Colture-Allevamenti'!G28+'Colture-Allevamenti'!I28+'Colture-Allevamenti'!K28</f>
        <v>0</v>
      </c>
      <c r="E14" s="208">
        <f>VLOOKUP($C14,TabLavoro!$B$2:$E$34,2,FALSE)</f>
        <v>1.85</v>
      </c>
      <c r="F14" s="208">
        <f>D14*VLOOKUP(A14,TabAttività!$A$2:$G$62,7,FALSE)</f>
        <v>0</v>
      </c>
      <c r="G14" s="206">
        <f>VLOOKUP($A14,TabAttività!$A$2:$D$62,4,FALSE)</f>
        <v>330.7650745623514</v>
      </c>
      <c r="H14" s="206">
        <f>VLOOKUP($A14,TabAttività!$A$2:$E$62,5,FALSE)</f>
        <v>72.61799205967206</v>
      </c>
      <c r="I14" s="206">
        <f t="shared" si="0"/>
        <v>0</v>
      </c>
      <c r="J14" s="206">
        <f t="shared" si="1"/>
        <v>330.7650745623514</v>
      </c>
      <c r="K14" s="208">
        <f t="shared" si="2"/>
        <v>0</v>
      </c>
      <c r="L14" s="207">
        <f>VLOOKUP($C14,TabLavoro!$B$2:$E$38,3,FALSE)</f>
        <v>18</v>
      </c>
      <c r="M14" s="207">
        <f>VLOOKUP($C14,TabLavoro!$B$2:$E$38,4,FALSE)</f>
        <v>8</v>
      </c>
      <c r="N14" s="206">
        <f>F14+F13</f>
        <v>0</v>
      </c>
      <c r="O14" s="207">
        <f>IF(N14&gt;0,L14*(E14/N14)^(1/M14),"")</f>
      </c>
      <c r="P14" s="205">
        <f>IF(AND(N14&gt;0,L14&gt;0),N14*O14,0)</f>
        <v>0</v>
      </c>
      <c r="Q14" s="208">
        <f>VLOOKUP($A14,TabAttività!$A$2:$I$62,9,FALSE)</f>
        <v>36.15</v>
      </c>
      <c r="R14" s="208">
        <f>'Colture-Allevamenti'!I28*Q14</f>
        <v>0</v>
      </c>
    </row>
    <row r="15" spans="1:18" s="117" customFormat="1" ht="12.75">
      <c r="A15" s="496" t="s">
        <v>49</v>
      </c>
      <c r="B15" s="498" t="str">
        <f>VLOOKUP($A15,TabAttività!$A$2:$C$62,3,FALSE)</f>
        <v>PF. Pascolo fertile</v>
      </c>
      <c r="C15" s="481" t="str">
        <f>VLOOKUP($A15,TabAttività!$A$2:$F$62,6,FALSE)</f>
        <v>Pascolo</v>
      </c>
      <c r="D15" s="19">
        <f>'Colture-Allevamenti'!G30+'Colture-Allevamenti'!I30+'Colture-Allevamenti'!K30</f>
        <v>0</v>
      </c>
      <c r="E15" s="208">
        <f>VLOOKUP($C15,TabLavoro!$B$2:$E$34,2,FALSE)</f>
        <v>1.25</v>
      </c>
      <c r="F15" s="208">
        <f>D15*VLOOKUP(A15,TabAttività!$A$2:$G$62,7,FALSE)</f>
        <v>0</v>
      </c>
      <c r="G15" s="206">
        <f>VLOOKUP($A15,TabAttività!$A$2:$D$62,4,FALSE)</f>
        <v>109.62868797555379</v>
      </c>
      <c r="H15" s="206">
        <f>VLOOKUP($A15,TabAttività!$A$2:$E$62,5,FALSE)</f>
        <v>18.82426104850459</v>
      </c>
      <c r="I15" s="206">
        <f t="shared" si="0"/>
        <v>0</v>
      </c>
      <c r="J15" s="206">
        <f t="shared" si="1"/>
        <v>109.62868797555379</v>
      </c>
      <c r="K15" s="208">
        <f t="shared" si="2"/>
        <v>0</v>
      </c>
      <c r="L15" s="53"/>
      <c r="M15" s="53"/>
      <c r="N15" s="54"/>
      <c r="O15" s="53"/>
      <c r="P15" s="55"/>
      <c r="Q15" s="208">
        <f>VLOOKUP($A15,TabAttività!$A$2:$I$62,9,FALSE)</f>
        <v>15.49</v>
      </c>
      <c r="R15" s="208">
        <f>'Colture-Allevamenti'!I30*Q15</f>
        <v>0</v>
      </c>
    </row>
    <row r="16" spans="1:18" s="117" customFormat="1" ht="12.75">
      <c r="A16" s="496" t="s">
        <v>476</v>
      </c>
      <c r="B16" s="498" t="s">
        <v>478</v>
      </c>
      <c r="C16" s="481" t="str">
        <f>VLOOKUP($A16,TabAttività!$A$2:$F$62,6,FALSE)</f>
        <v>Pascolo</v>
      </c>
      <c r="D16" s="19">
        <f>('Colture-Allevamenti'!G32+'Colture-Allevamenti'!I32+'Colture-Allevamenti'!K32)*0.8</f>
        <v>0</v>
      </c>
      <c r="E16" s="208">
        <f>VLOOKUP($C16,TabLavoro!$B$2:$E$34,2,FALSE)</f>
        <v>1.25</v>
      </c>
      <c r="F16" s="208">
        <f>D16*VLOOKUP(A16,TabAttività!$A$2:$G$62,7,FALSE)</f>
        <v>0</v>
      </c>
      <c r="G16" s="206">
        <f>VLOOKUP($A16,TabAttività!$A$2:$D$62,4,FALSE)</f>
        <v>109.62868797555379</v>
      </c>
      <c r="H16" s="206">
        <f>VLOOKUP($A16,TabAttività!$A$2:$E$62,5,FALSE)</f>
        <v>18.82426104850459</v>
      </c>
      <c r="I16" s="206">
        <f>IF(D16&gt;0,H16*(E16/D16)^0.25,0)</f>
        <v>0</v>
      </c>
      <c r="J16" s="206">
        <f>G16-I16</f>
        <v>109.62868797555379</v>
      </c>
      <c r="K16" s="208">
        <f>D16*J16</f>
        <v>0</v>
      </c>
      <c r="L16" s="53"/>
      <c r="M16" s="53"/>
      <c r="N16" s="54"/>
      <c r="O16" s="53"/>
      <c r="P16" s="55"/>
      <c r="Q16" s="208">
        <f>VLOOKUP($A16,TabAttività!$A$2:$I$62,9,FALSE)</f>
        <v>15.49</v>
      </c>
      <c r="R16" s="208">
        <f>('Colture-Allevamenti'!I32*0.8)*Q16</f>
        <v>0</v>
      </c>
    </row>
    <row r="17" spans="1:18" s="117" customFormat="1" ht="12.75">
      <c r="A17" s="496" t="s">
        <v>477</v>
      </c>
      <c r="B17" s="498" t="s">
        <v>479</v>
      </c>
      <c r="C17" s="481" t="str">
        <f>VLOOKUP($A17,TabAttività!$A$2:$F$62,6,FALSE)</f>
        <v>Pascolo</v>
      </c>
      <c r="D17" s="19">
        <f>('Colture-Allevamenti'!G34+'Colture-Allevamenti'!I34+'Colture-Allevamenti'!K34)*0.5</f>
        <v>0</v>
      </c>
      <c r="E17" s="208">
        <f>VLOOKUP($C17,TabLavoro!$B$2:$E$34,2,FALSE)</f>
        <v>1.25</v>
      </c>
      <c r="F17" s="208">
        <f>D17*VLOOKUP(A17,TabAttività!$A$2:$G$62,7,FALSE)</f>
        <v>0</v>
      </c>
      <c r="G17" s="206">
        <f>VLOOKUP($A17,TabAttività!$A$2:$D$62,4,FALSE)</f>
        <v>109.62868797555379</v>
      </c>
      <c r="H17" s="206">
        <f>VLOOKUP($A17,TabAttività!$A$2:$E$62,5,FALSE)</f>
        <v>18.82426104850459</v>
      </c>
      <c r="I17" s="206">
        <f>IF(D17&gt;0,H17*(E17/D17)^0.25,0)</f>
        <v>0</v>
      </c>
      <c r="J17" s="206">
        <f>G17-I17</f>
        <v>109.62868797555379</v>
      </c>
      <c r="K17" s="208">
        <f>D17*J17</f>
        <v>0</v>
      </c>
      <c r="L17" s="53"/>
      <c r="M17" s="53"/>
      <c r="N17" s="54"/>
      <c r="O17" s="53"/>
      <c r="P17" s="55"/>
      <c r="Q17" s="208">
        <f>VLOOKUP($A17,TabAttività!$A$2:$I$62,9,FALSE)</f>
        <v>15.49</v>
      </c>
      <c r="R17" s="208">
        <f>('Colture-Allevamenti'!I34*0.5)*Q17</f>
        <v>0</v>
      </c>
    </row>
    <row r="18" spans="1:18" s="117" customFormat="1" ht="12.75">
      <c r="A18" s="496" t="s">
        <v>52</v>
      </c>
      <c r="B18" s="498" t="str">
        <f>VLOOKUP($A18,TabAttività!$A$2:$C$62,3,FALSE)</f>
        <v>PM. Pascolo magro</v>
      </c>
      <c r="C18" s="481" t="str">
        <f>VLOOKUP($A18,TabAttività!$A$2:$F$62,6,FALSE)</f>
        <v>Pascolo</v>
      </c>
      <c r="D18" s="19">
        <f>'Colture-Allevamenti'!G36+'Colture-Allevamenti'!I36+'Colture-Allevamenti'!K36</f>
        <v>0</v>
      </c>
      <c r="E18" s="208">
        <f>VLOOKUP($C18,TabLavoro!$B$2:$E$34,2,FALSE)</f>
        <v>1.25</v>
      </c>
      <c r="F18" s="208">
        <f>D18*VLOOKUP(A18,TabAttività!$A$2:$G$62,7,FALSE)</f>
        <v>0</v>
      </c>
      <c r="G18" s="206">
        <f>VLOOKUP($A18,TabAttività!$A$2:$D$62,4,FALSE)</f>
        <v>46.97064353567486</v>
      </c>
      <c r="H18" s="206">
        <f>VLOOKUP($A18,TabAttività!$A$2:$E$62,5,FALSE)</f>
        <v>6.02629071595875</v>
      </c>
      <c r="I18" s="206">
        <f t="shared" si="0"/>
        <v>0</v>
      </c>
      <c r="J18" s="206">
        <f t="shared" si="1"/>
        <v>46.97064353567486</v>
      </c>
      <c r="K18" s="208">
        <f t="shared" si="2"/>
        <v>0</v>
      </c>
      <c r="L18" s="53"/>
      <c r="M18" s="53"/>
      <c r="N18" s="54"/>
      <c r="O18" s="53"/>
      <c r="P18" s="55"/>
      <c r="Q18" s="208">
        <f>VLOOKUP($A18,TabAttività!$A$2:$I$62,9,FALSE)</f>
        <v>6.2</v>
      </c>
      <c r="R18" s="208">
        <f>'Colture-Allevamenti'!I36*Q18</f>
        <v>0</v>
      </c>
    </row>
    <row r="19" spans="1:18" s="117" customFormat="1" ht="12.75">
      <c r="A19" s="496" t="s">
        <v>471</v>
      </c>
      <c r="B19" s="498" t="s">
        <v>472</v>
      </c>
      <c r="C19" s="481" t="str">
        <f>VLOOKUP($A19,TabAttività!$A$2:$F$62,6,FALSE)</f>
        <v>Pascolo</v>
      </c>
      <c r="D19" s="19">
        <f>('Colture-Allevamenti'!G38+'Colture-Allevamenti'!I38+'Colture-Allevamenti'!K38)*0.8</f>
        <v>0</v>
      </c>
      <c r="E19" s="208">
        <f>VLOOKUP($C19,TabLavoro!$B$2:$E$34,2,FALSE)</f>
        <v>1.25</v>
      </c>
      <c r="F19" s="208">
        <f>D19*VLOOKUP(A19,TabAttività!$A$2:$G$62,7,FALSE)</f>
        <v>0</v>
      </c>
      <c r="G19" s="206">
        <f>VLOOKUP($A19,TabAttività!$A$2:$D$62,4,FALSE)</f>
        <v>46.97064353567486</v>
      </c>
      <c r="H19" s="206">
        <f>VLOOKUP($A19,TabAttività!$A$2:$E$62,5,FALSE)</f>
        <v>6.02629071595875</v>
      </c>
      <c r="I19" s="206">
        <f>IF(D19&gt;0,H19*(E19/D19)^0.25,0)</f>
        <v>0</v>
      </c>
      <c r="J19" s="206">
        <f>G19-I19</f>
        <v>46.97064353567486</v>
      </c>
      <c r="K19" s="208">
        <f>D19*J19</f>
        <v>0</v>
      </c>
      <c r="L19" s="53"/>
      <c r="M19" s="53"/>
      <c r="N19" s="54"/>
      <c r="O19" s="53"/>
      <c r="P19" s="55"/>
      <c r="Q19" s="208">
        <f>VLOOKUP($A19,TabAttività!$A$2:$I$62,9,FALSE)</f>
        <v>6.2</v>
      </c>
      <c r="R19" s="208">
        <f>('Colture-Allevamenti'!I38*0.8)*Q19</f>
        <v>0</v>
      </c>
    </row>
    <row r="20" spans="1:18" s="117" customFormat="1" ht="12.75">
      <c r="A20" s="496" t="s">
        <v>473</v>
      </c>
      <c r="B20" s="498" t="s">
        <v>474</v>
      </c>
      <c r="C20" s="481" t="str">
        <f>VLOOKUP($A20,TabAttività!$A$2:$F$62,6,FALSE)</f>
        <v>Pascolo</v>
      </c>
      <c r="D20" s="19">
        <f>('Colture-Allevamenti'!G40+'Colture-Allevamenti'!I40+'Colture-Allevamenti'!K40)*0.5</f>
        <v>0</v>
      </c>
      <c r="E20" s="208">
        <f>VLOOKUP($C20,TabLavoro!$B$2:$E$34,2,FALSE)</f>
        <v>1.25</v>
      </c>
      <c r="F20" s="208">
        <f>D20*VLOOKUP(A20,TabAttività!$A$2:$G$62,7,FALSE)</f>
        <v>0</v>
      </c>
      <c r="G20" s="206">
        <f>VLOOKUP($A20,TabAttività!$A$2:$D$62,4,FALSE)</f>
        <v>46.97064353567486</v>
      </c>
      <c r="H20" s="206">
        <f>VLOOKUP($A20,TabAttività!$A$2:$E$62,5,FALSE)</f>
        <v>6.02629071595875</v>
      </c>
      <c r="I20" s="206">
        <f>IF(D20&gt;0,H20*(E20/D20)^0.25,0)</f>
        <v>0</v>
      </c>
      <c r="J20" s="206">
        <f>G20-I20</f>
        <v>46.97064353567486</v>
      </c>
      <c r="K20" s="208">
        <f>D20*J20</f>
        <v>0</v>
      </c>
      <c r="L20" s="53"/>
      <c r="M20" s="53"/>
      <c r="N20" s="54"/>
      <c r="O20" s="53"/>
      <c r="P20" s="55"/>
      <c r="Q20" s="208">
        <f>VLOOKUP($A20,TabAttività!$A$2:$I$62,9,FALSE)</f>
        <v>6.2</v>
      </c>
      <c r="R20" s="208">
        <f>('Colture-Allevamenti'!I40*0.5)*Q20</f>
        <v>0</v>
      </c>
    </row>
    <row r="21" spans="1:18" s="117" customFormat="1" ht="12.75">
      <c r="A21" s="496" t="s">
        <v>480</v>
      </c>
      <c r="B21" s="498" t="s">
        <v>481</v>
      </c>
      <c r="C21" s="481" t="str">
        <f>VLOOKUP($A21,TabAttività!$A$2:$F$62,6,FALSE)</f>
        <v>Pascolo</v>
      </c>
      <c r="D21" s="19">
        <f>('Colture-Allevamenti'!G42+'Colture-Allevamenti'!I42+'Colture-Allevamenti'!K42)*0.5</f>
        <v>0</v>
      </c>
      <c r="E21" s="208">
        <f>VLOOKUP($C21,TabLavoro!$B$2:$E$34,2,FALSE)</f>
        <v>1.25</v>
      </c>
      <c r="F21" s="208">
        <f>D21*VLOOKUP(A21,TabAttività!$A$2:$G$62,7,FALSE)</f>
        <v>0</v>
      </c>
      <c r="G21" s="206">
        <f>VLOOKUP($A21,TabAttività!$A$2:$D$62,4,FALSE)</f>
        <v>46.97064353567486</v>
      </c>
      <c r="H21" s="206">
        <f>VLOOKUP($A21,TabAttività!$A$2:$E$62,5,FALSE)</f>
        <v>6.02629071595875</v>
      </c>
      <c r="I21" s="206">
        <f>IF(D21&gt;0,H21*(E21/D21)^0.25,0)</f>
        <v>0</v>
      </c>
      <c r="J21" s="206">
        <f>G21-I21</f>
        <v>46.97064353567486</v>
      </c>
      <c r="K21" s="208">
        <f>D21*J21</f>
        <v>0</v>
      </c>
      <c r="L21" s="207">
        <f>VLOOKUP($C21,TabLavoro!$B$2:$E$38,3,FALSE)</f>
        <v>3</v>
      </c>
      <c r="M21" s="207">
        <f>VLOOKUP($C21,TabLavoro!$B$2:$E$38,4,FALSE)</f>
        <v>3</v>
      </c>
      <c r="N21" s="206">
        <f>SUM(F15:F21)</f>
        <v>0</v>
      </c>
      <c r="O21" s="207">
        <f>IF(N21&gt;0,L21*(E21/N21)^(1/M21),"")</f>
      </c>
      <c r="P21" s="205">
        <f>IF(AND(N21&gt;0,L21&gt;0),N21*O21,0)</f>
        <v>0</v>
      </c>
      <c r="Q21" s="208">
        <f>VLOOKUP($A21,TabAttività!$A$2:$I$62,9,FALSE)</f>
        <v>6.2</v>
      </c>
      <c r="R21" s="208">
        <f>('Colture-Allevamenti'!I42*0.5)*Q21</f>
        <v>0</v>
      </c>
    </row>
    <row r="22" spans="1:18" s="117" customFormat="1" ht="12.75">
      <c r="A22" s="497" t="s">
        <v>54</v>
      </c>
      <c r="B22" s="498" t="str">
        <f>VLOOKUP($A22,TabAttività!$A$2:$C$62,3,FALSE)</f>
        <v>PRA. Prato arborato</v>
      </c>
      <c r="C22" s="481" t="str">
        <f>VLOOKUP($A22,TabAttività!$A$2:$F$62,6,FALSE)</f>
        <v>Prato Arborato</v>
      </c>
      <c r="D22" s="19">
        <f>'Colture-Allevamenti'!G44+'Colture-Allevamenti'!I44+'Colture-Allevamenti'!K44</f>
        <v>0</v>
      </c>
      <c r="E22" s="208">
        <f>VLOOKUP($C22,TabLavoro!$B$2:$E$34,2,FALSE)</f>
        <v>0.3</v>
      </c>
      <c r="F22" s="208">
        <f>D22*VLOOKUP(A22,TabAttività!$A$2:$G$62,7,FALSE)</f>
        <v>0</v>
      </c>
      <c r="G22" s="206">
        <f>VLOOKUP($A22,TabAttività!$A$2:$D$62,4,FALSE)</f>
        <v>2533.0670097518237</v>
      </c>
      <c r="H22" s="206">
        <f>VLOOKUP($A22,TabAttività!$A$2:$E$62,5,FALSE)</f>
        <v>645.4740265088242</v>
      </c>
      <c r="I22" s="206">
        <f t="shared" si="0"/>
        <v>0</v>
      </c>
      <c r="J22" s="206">
        <f t="shared" si="1"/>
        <v>2533.0670097518237</v>
      </c>
      <c r="K22" s="208">
        <f t="shared" si="2"/>
        <v>0</v>
      </c>
      <c r="L22" s="207">
        <f>VLOOKUP($C22,TabLavoro!$B$2:$E$38,3,FALSE)</f>
        <v>80</v>
      </c>
      <c r="M22" s="207">
        <f>VLOOKUP($C22,TabLavoro!$B$2:$E$38,4,FALSE)</f>
        <v>5</v>
      </c>
      <c r="N22" s="206">
        <f>F22</f>
        <v>0</v>
      </c>
      <c r="O22" s="207">
        <f>IF(N22&gt;0,L22*(E22/N22)^(1/M22),"")</f>
      </c>
      <c r="P22" s="205">
        <f>IF(AND(N22&gt;0,L22&gt;0),N22*O22,0)</f>
        <v>0</v>
      </c>
      <c r="Q22" s="208">
        <f>VLOOKUP($A22,TabAttività!$A$2:$I$62,9,FALSE)</f>
        <v>118.79</v>
      </c>
      <c r="R22" s="208">
        <f>'Colture-Allevamenti'!I44*Q22</f>
        <v>0</v>
      </c>
    </row>
    <row r="23" spans="1:19" ht="12.75">
      <c r="A23" s="82" t="s">
        <v>57</v>
      </c>
      <c r="B23" s="71" t="str">
        <f>VLOOKUP($A23,TabAttività!$A$2:$C$62,3,FALSE)</f>
        <v>F. Frutteto</v>
      </c>
      <c r="C23" s="67" t="str">
        <f>VLOOKUP($A23,TabAttività!$A$2:$F$62,6,FALSE)</f>
        <v>Frutteto</v>
      </c>
      <c r="D23" s="19">
        <f>'Colture-Allevamenti'!G46+'Colture-Allevamenti'!I46+'Colture-Allevamenti'!K46</f>
        <v>0</v>
      </c>
      <c r="E23" s="10">
        <f>VLOOKUP($C23,TabLavoro!$B$2:$E$34,2,FALSE)</f>
        <v>0.3</v>
      </c>
      <c r="F23" s="10">
        <f>D23*VLOOKUP(A23,TabAttività!$A$2:$G$62,7,FALSE)</f>
        <v>0</v>
      </c>
      <c r="G23" s="15">
        <f>VLOOKUP($A23,TabAttività!$A$2:$D$62,4,FALSE)</f>
        <v>8011.881188118811</v>
      </c>
      <c r="H23" s="15">
        <f>VLOOKUP($A23,TabAttività!$A$2:$E$62,5,FALSE)</f>
        <v>2384.452957133473</v>
      </c>
      <c r="I23" s="15">
        <f t="shared" si="0"/>
        <v>0</v>
      </c>
      <c r="J23" s="15">
        <f t="shared" si="1"/>
        <v>8011.881188118811</v>
      </c>
      <c r="K23" s="10">
        <f t="shared" si="2"/>
        <v>0</v>
      </c>
      <c r="L23" s="14">
        <f>VLOOKUP($C23,TabLavoro!$B$2:$E$38,3,FALSE)</f>
        <v>180</v>
      </c>
      <c r="M23" s="14">
        <f>VLOOKUP($C23,TabLavoro!$B$2:$E$38,4,FALSE)</f>
        <v>5</v>
      </c>
      <c r="N23" s="15">
        <f>F23</f>
        <v>0</v>
      </c>
      <c r="O23" s="14">
        <f t="shared" si="3"/>
      </c>
      <c r="P23" s="9">
        <f>IF(AND(N23&gt;0,L23&gt;0),N23*O23,0)</f>
        <v>0</v>
      </c>
      <c r="Q23" s="10">
        <f>VLOOKUP($A23,TabAttività!$A$2:$I$62,9,FALSE)</f>
        <v>387.34</v>
      </c>
      <c r="R23" s="10">
        <f>'Colture-Allevamenti'!I46*Q23</f>
        <v>0</v>
      </c>
      <c r="S23" s="287">
        <f>D23*G23*1.25</f>
        <v>0</v>
      </c>
    </row>
    <row r="24" spans="1:18" s="404" customFormat="1" ht="12.75">
      <c r="A24" s="502" t="s">
        <v>60</v>
      </c>
      <c r="B24" s="503" t="str">
        <f>VLOOKUP($A24,TabAttività!$A$2:$C$62,3,FALSE)</f>
        <v>FGN. Frutta a guscio Noce</v>
      </c>
      <c r="C24" s="504" t="str">
        <f>VLOOKUP($A24,TabAttività!$A$2:$F$62,6,FALSE)</f>
        <v>Frutta a guscio</v>
      </c>
      <c r="D24" s="505">
        <f>'Colture-Allevamenti'!G48+'Colture-Allevamenti'!I48+'Colture-Allevamenti'!K48</f>
        <v>0</v>
      </c>
      <c r="E24" s="505">
        <f>VLOOKUP($C24,TabLavoro!$B$2:$E$34,2,FALSE)</f>
        <v>0.25</v>
      </c>
      <c r="F24" s="505">
        <f>D24*VLOOKUP(A24,TabAttività!$A$2:$G$62,7,FALSE)</f>
        <v>0</v>
      </c>
      <c r="G24" s="506">
        <f>VLOOKUP($A24,TabAttività!$A$2:$D$62,4,FALSE)</f>
        <v>2273.125</v>
      </c>
      <c r="H24" s="506">
        <f>VLOOKUP($A24,TabAttività!$A$2:$E$62,5,FALSE)</f>
        <v>306.62875863864537</v>
      </c>
      <c r="I24" s="506">
        <f t="shared" si="0"/>
        <v>0</v>
      </c>
      <c r="J24" s="506">
        <f t="shared" si="1"/>
        <v>2273.125</v>
      </c>
      <c r="K24" s="505">
        <f t="shared" si="2"/>
        <v>0</v>
      </c>
      <c r="L24" s="507">
        <f>VLOOKUP($C24,TabLavoro!$B$2:$E$38,3,FALSE)</f>
        <v>40</v>
      </c>
      <c r="M24" s="507">
        <f>VLOOKUP($C24,TabLavoro!$B$2:$E$38,4,FALSE)</f>
        <v>5</v>
      </c>
      <c r="N24" s="506">
        <f>F24</f>
        <v>0</v>
      </c>
      <c r="O24" s="507">
        <f t="shared" si="3"/>
      </c>
      <c r="P24" s="508">
        <f>IF(AND(N24&gt;0,L24&gt;0),N24*O24,0)</f>
        <v>0</v>
      </c>
      <c r="Q24" s="505">
        <f>VLOOKUP($A24,TabAttività!$A$2:$I$62,9,FALSE)</f>
        <v>61.97</v>
      </c>
      <c r="R24" s="505">
        <f>'Colture-Allevamenti'!I48*Q24</f>
        <v>0</v>
      </c>
    </row>
    <row r="25" spans="1:19" s="517" customFormat="1" ht="12.75">
      <c r="A25" s="509" t="s">
        <v>62</v>
      </c>
      <c r="B25" s="510" t="str">
        <f>VLOOKUP($A25,TabAttività!$A$2:$C$62,3,FALSE)</f>
        <v>PFR. Piccoli frutti</v>
      </c>
      <c r="C25" s="511" t="str">
        <f>VLOOKUP($A25,TabAttività!$A$2:$F$62,6,FALSE)</f>
        <v>Piccoli frutti</v>
      </c>
      <c r="D25" s="505">
        <f>'Colture-Allevamenti'!G50+'Colture-Allevamenti'!I50+'Colture-Allevamenti'!K50</f>
        <v>0</v>
      </c>
      <c r="E25" s="512">
        <f>VLOOKUP($C25,TabLavoro!$B$2:$E$34,2,FALSE)</f>
        <v>0.05</v>
      </c>
      <c r="F25" s="512">
        <f>D25*VLOOKUP(A25,TabAttività!$A$2:$G$62,7,FALSE)</f>
        <v>0</v>
      </c>
      <c r="G25" s="513">
        <f>VLOOKUP($A25,TabAttività!$A$2:$D$62,4,FALSE)</f>
        <v>15438.394860335195</v>
      </c>
      <c r="H25" s="513">
        <f>VLOOKUP($A25,TabAttività!$A$2:$E$62,5,FALSE)</f>
        <v>3087.947932960894</v>
      </c>
      <c r="I25" s="513">
        <f t="shared" si="0"/>
        <v>0</v>
      </c>
      <c r="J25" s="513">
        <f t="shared" si="1"/>
        <v>15438.394860335195</v>
      </c>
      <c r="K25" s="512">
        <f t="shared" si="2"/>
        <v>0</v>
      </c>
      <c r="L25" s="514">
        <f>VLOOKUP($C25,TabLavoro!$B$2:$E$38,3,FALSE)</f>
        <v>500</v>
      </c>
      <c r="M25" s="514">
        <f>VLOOKUP($C25,TabLavoro!$B$2:$E$38,4,FALSE)</f>
        <v>5</v>
      </c>
      <c r="N25" s="513">
        <f>F25</f>
        <v>0</v>
      </c>
      <c r="O25" s="514">
        <f t="shared" si="3"/>
      </c>
      <c r="P25" s="515">
        <f>IF(AND(N25&gt;0,L25&gt;0),N25*O25,0)</f>
        <v>0</v>
      </c>
      <c r="Q25" s="512">
        <f>VLOOKUP($A25,TabAttività!$A$2:$I$62,9,FALSE)</f>
        <v>361.52</v>
      </c>
      <c r="R25" s="512">
        <f>'Colture-Allevamenti'!I50*Q25</f>
        <v>0</v>
      </c>
      <c r="S25" s="516">
        <f>D25*G25*1.25</f>
        <v>0</v>
      </c>
    </row>
    <row r="26" spans="1:19" s="517" customFormat="1" ht="12.75">
      <c r="A26" s="509" t="s">
        <v>65</v>
      </c>
      <c r="B26" s="510" t="str">
        <f>VLOOKUP($A26,TabAttività!$A$2:$C$62,3,FALSE)</f>
        <v>VD. Vigneto per vino di qualità</v>
      </c>
      <c r="C26" s="511" t="str">
        <f>VLOOKUP($A26,TabAttività!$A$2:$F$62,6,FALSE)</f>
        <v>Vigneto</v>
      </c>
      <c r="D26" s="505">
        <f>'Colture-Allevamenti'!G52+'Colture-Allevamenti'!I52+'Colture-Allevamenti'!K52</f>
        <v>0</v>
      </c>
      <c r="E26" s="512">
        <f>VLOOKUP($C26,TabLavoro!$B$2:$E$34,2,FALSE)</f>
        <v>0.2</v>
      </c>
      <c r="F26" s="512">
        <f>D26*VLOOKUP(A26,TabAttività!$A$2:$G$62,7,FALSE)</f>
        <v>0</v>
      </c>
      <c r="G26" s="513">
        <f>VLOOKUP($A26,TabAttività!$A$2:$D$62,4,FALSE)</f>
        <v>11181.508982035928</v>
      </c>
      <c r="H26" s="513">
        <f>VLOOKUP($A26,TabAttività!$A$2:$E$62,5,FALSE)</f>
        <v>2610.6384369702723</v>
      </c>
      <c r="I26" s="513">
        <f t="shared" si="0"/>
        <v>0</v>
      </c>
      <c r="J26" s="513">
        <f t="shared" si="1"/>
        <v>11181.508982035928</v>
      </c>
      <c r="K26" s="512">
        <f t="shared" si="2"/>
        <v>0</v>
      </c>
      <c r="L26" s="518"/>
      <c r="M26" s="518"/>
      <c r="N26" s="519"/>
      <c r="O26" s="518">
        <f>IF(N26&gt;0,L26*(E26/N26)^(1/M26),"")</f>
      </c>
      <c r="P26" s="520"/>
      <c r="Q26" s="512">
        <f>VLOOKUP($A26,TabAttività!$A$2:$I$62,9,FALSE)</f>
        <v>361.52</v>
      </c>
      <c r="R26" s="512">
        <f>'Colture-Allevamenti'!I52*Q26</f>
        <v>0</v>
      </c>
      <c r="S26" s="521"/>
    </row>
    <row r="27" spans="1:19" s="517" customFormat="1" ht="12.75">
      <c r="A27" s="509" t="s">
        <v>68</v>
      </c>
      <c r="B27" s="510" t="str">
        <f>VLOOKUP($A27,TabAttività!$A$2:$C$62,3,FALSE)</f>
        <v>VT. Vigneto per altri vini</v>
      </c>
      <c r="C27" s="511" t="str">
        <f>VLOOKUP($A27,TabAttività!$A$2:$F$62,6,FALSE)</f>
        <v>Vigneto</v>
      </c>
      <c r="D27" s="505">
        <f>'Colture-Allevamenti'!G54+'Colture-Allevamenti'!I54+'Colture-Allevamenti'!K54</f>
        <v>0</v>
      </c>
      <c r="E27" s="512">
        <f>VLOOKUP($C27,TabLavoro!$B$2:$E$34,2,FALSE)</f>
        <v>0.2</v>
      </c>
      <c r="F27" s="512">
        <f>D27*VLOOKUP(A27,TabAttività!$A$2:$G$62,7,FALSE)</f>
        <v>0</v>
      </c>
      <c r="G27" s="513">
        <f>VLOOKUP($A27,TabAttività!$A$2:$D$62,4,FALSE)</f>
        <v>7562.470763342547</v>
      </c>
      <c r="H27" s="513">
        <f>VLOOKUP($A27,TabAttività!$A$2:$E$62,5,FALSE)</f>
        <v>1522.1780059507666</v>
      </c>
      <c r="I27" s="513">
        <f t="shared" si="0"/>
        <v>0</v>
      </c>
      <c r="J27" s="513">
        <f t="shared" si="1"/>
        <v>7562.470763342547</v>
      </c>
      <c r="K27" s="512">
        <f t="shared" si="2"/>
        <v>0</v>
      </c>
      <c r="L27" s="514">
        <f>VLOOKUP($C27,TabLavoro!$B$2:$E$38,3,FALSE)</f>
        <v>220</v>
      </c>
      <c r="M27" s="514">
        <f>VLOOKUP($C27,TabLavoro!$B$2:$E$38,4,FALSE)</f>
        <v>5</v>
      </c>
      <c r="N27" s="513">
        <f>F26+F27</f>
        <v>0</v>
      </c>
      <c r="O27" s="514">
        <f t="shared" si="3"/>
      </c>
      <c r="P27" s="515">
        <f>IF(AND(N27&gt;0,L27&gt;0),N27*O27,0)</f>
        <v>0</v>
      </c>
      <c r="Q27" s="512">
        <f>VLOOKUP($A27,TabAttività!$A$2:$I$62,9,FALSE)</f>
        <v>206.58</v>
      </c>
      <c r="R27" s="512">
        <f>'Colture-Allevamenti'!I54*Q27</f>
        <v>0</v>
      </c>
      <c r="S27" s="521"/>
    </row>
    <row r="28" spans="1:19" s="517" customFormat="1" ht="12.75">
      <c r="A28" s="509" t="s">
        <v>70</v>
      </c>
      <c r="B28" s="510" t="str">
        <f>VLOOKUP($A28,TabAttività!$A$2:$C$62,3,FALSE)</f>
        <v>AL. Impianti artificiali da legno</v>
      </c>
      <c r="C28" s="511" t="str">
        <f>VLOOKUP($A28,TabAttività!$A$2:$F$62,6,FALSE)</f>
        <v>Impianti artificiali da legno</v>
      </c>
      <c r="D28" s="505">
        <f>'Colture-Allevamenti'!G56+'Colture-Allevamenti'!I56+'Colture-Allevamenti'!K56</f>
        <v>0</v>
      </c>
      <c r="E28" s="512">
        <f>VLOOKUP($C28,TabLavoro!$B$2:$E$34,2,FALSE)</f>
        <v>0.5</v>
      </c>
      <c r="F28" s="512">
        <f>D28*VLOOKUP(A28,TabAttività!$A$2:$G$62,7,FALSE)</f>
        <v>0</v>
      </c>
      <c r="G28" s="513">
        <f>VLOOKUP($A28,TabAttività!$A$2:$D$62,4,FALSE)</f>
        <v>787.9061074458058</v>
      </c>
      <c r="H28" s="513">
        <f>VLOOKUP($A28,TabAttività!$A$2:$E$62,5,FALSE)</f>
        <v>181.188821866164</v>
      </c>
      <c r="I28" s="513">
        <f t="shared" si="0"/>
        <v>0</v>
      </c>
      <c r="J28" s="513">
        <f t="shared" si="1"/>
        <v>787.9061074458058</v>
      </c>
      <c r="K28" s="512">
        <f t="shared" si="2"/>
        <v>0</v>
      </c>
      <c r="L28" s="514">
        <f>VLOOKUP($C28,TabLavoro!$B$2:$E$38,3,FALSE)</f>
        <v>25</v>
      </c>
      <c r="M28" s="514">
        <f>VLOOKUP($C28,TabLavoro!$B$2:$E$38,4,FALSE)</f>
        <v>5</v>
      </c>
      <c r="N28" s="513">
        <f>F28</f>
        <v>0</v>
      </c>
      <c r="O28" s="514">
        <f t="shared" si="3"/>
      </c>
      <c r="P28" s="515">
        <f>IF(AND(N28&gt;0,L28&gt;0),N28*O28,0)</f>
        <v>0</v>
      </c>
      <c r="Q28" s="512">
        <f>VLOOKUP($A28,TabAttività!$A$2:$I$62,9,FALSE)</f>
        <v>36.15</v>
      </c>
      <c r="R28" s="512">
        <f>'Colture-Allevamenti'!I56*Q28</f>
        <v>0</v>
      </c>
      <c r="S28" s="521"/>
    </row>
    <row r="29" spans="1:19" s="517" customFormat="1" ht="12.75">
      <c r="A29" s="509" t="s">
        <v>73</v>
      </c>
      <c r="B29" s="510" t="str">
        <f>VLOOKUP($A29,TabAttività!$A$2:$C$62,3,FALSE)</f>
        <v>B. Boschi curati</v>
      </c>
      <c r="C29" s="511" t="str">
        <f>VLOOKUP($A29,TabAttività!$A$2:$F$62,6,FALSE)</f>
        <v>Boschi curati</v>
      </c>
      <c r="D29" s="505">
        <f>'Colture-Allevamenti'!G58+'Colture-Allevamenti'!I58+'Colture-Allevamenti'!K58</f>
        <v>0</v>
      </c>
      <c r="E29" s="512">
        <f>VLOOKUP($C29,TabLavoro!$B$2:$E$34,2,FALSE)</f>
        <v>0.75</v>
      </c>
      <c r="F29" s="512">
        <f>D29*VLOOKUP(A29,TabAttività!$A$2:$G$62,7,FALSE)</f>
        <v>0</v>
      </c>
      <c r="G29" s="513">
        <f>VLOOKUP($A29,TabAttività!$A$2:$D$62,4,FALSE)</f>
        <v>109.22426955702167</v>
      </c>
      <c r="H29" s="513">
        <f>VLOOKUP($A29,TabAttività!$A$2:$E$62,5,FALSE)</f>
        <v>25.255438265786996</v>
      </c>
      <c r="I29" s="513">
        <f t="shared" si="0"/>
        <v>0</v>
      </c>
      <c r="J29" s="513">
        <f t="shared" si="1"/>
        <v>109.22426955702167</v>
      </c>
      <c r="K29" s="512">
        <f t="shared" si="2"/>
        <v>0</v>
      </c>
      <c r="L29" s="514">
        <f>VLOOKUP($C29,TabLavoro!$B$2:$E$38,3,FALSE)</f>
        <v>3</v>
      </c>
      <c r="M29" s="514">
        <f>VLOOKUP($C29,TabLavoro!$B$2:$E$38,4,FALSE)</f>
        <v>5</v>
      </c>
      <c r="N29" s="513">
        <f>F29</f>
        <v>0</v>
      </c>
      <c r="O29" s="514">
        <f t="shared" si="3"/>
      </c>
      <c r="P29" s="515">
        <f>IF(AND(N29&gt;0,L29&gt;0),N29*O29,0)</f>
        <v>0</v>
      </c>
      <c r="Q29" s="512">
        <f>VLOOKUP($A29,TabAttività!$A$2:$I$62,9,FALSE)</f>
        <v>2.58</v>
      </c>
      <c r="R29" s="512">
        <f>'Colture-Allevamenti'!I58*Q29</f>
        <v>0</v>
      </c>
      <c r="S29" s="521"/>
    </row>
    <row r="30" spans="1:19" s="517" customFormat="1" ht="12.75">
      <c r="A30" s="509" t="s">
        <v>82</v>
      </c>
      <c r="B30" s="510" t="str">
        <f>VLOOKUP($A30,TabAttività!$A$2:$C$62,3,FALSE)</f>
        <v>PFA. Pascolo fertile alpeggio</v>
      </c>
      <c r="C30" s="511" t="str">
        <f>VLOOKUP($A30,TabAttività!$A$2:$F$62,6,FALSE)</f>
        <v>Alpeggio</v>
      </c>
      <c r="D30" s="505">
        <f>'Colture-Allevamenti'!G60+'Colture-Allevamenti'!I60+'Colture-Allevamenti'!K60</f>
        <v>0</v>
      </c>
      <c r="E30" s="512">
        <f>VLOOKUP($C30,TabLavoro!$B$2:$E$34,2,FALSE)</f>
        <v>35</v>
      </c>
      <c r="F30" s="512">
        <f>D30*VLOOKUP(A30,TabAttività!$A$2:$G$62,7,FALSE)</f>
        <v>0</v>
      </c>
      <c r="G30" s="513">
        <f>VLOOKUP($A30,TabAttività!$A$2:$D$62,4,FALSE)</f>
        <v>73.08579198370253</v>
      </c>
      <c r="H30" s="513">
        <f>VLOOKUP($A30,TabAttività!$A$2:$E$62,5,FALSE)</f>
        <v>12.549507365669726</v>
      </c>
      <c r="I30" s="513">
        <f t="shared" si="0"/>
        <v>0</v>
      </c>
      <c r="J30" s="513">
        <f t="shared" si="1"/>
        <v>73.08579198370253</v>
      </c>
      <c r="K30" s="512">
        <f t="shared" si="2"/>
        <v>0</v>
      </c>
      <c r="L30" s="518"/>
      <c r="M30" s="518"/>
      <c r="N30" s="519"/>
      <c r="O30" s="518">
        <f t="shared" si="3"/>
      </c>
      <c r="P30" s="520"/>
      <c r="Q30" s="512">
        <f>VLOOKUP($A30,TabAttività!$A$2:$I$62,9,FALSE)</f>
        <v>7.23</v>
      </c>
      <c r="R30" s="512">
        <f>'Colture-Allevamenti'!I60*Q30</f>
        <v>0</v>
      </c>
      <c r="S30" s="521"/>
    </row>
    <row r="31" spans="1:19" s="517" customFormat="1" ht="12.75">
      <c r="A31" s="509" t="s">
        <v>85</v>
      </c>
      <c r="B31" s="510" t="str">
        <f>VLOOKUP($A31,TabAttività!$A$2:$C$62,3,FALSE)</f>
        <v>PMA. Pascolo magro alpeggio</v>
      </c>
      <c r="C31" s="511" t="str">
        <f>VLOOKUP($A31,TabAttività!$A$2:$F$62,6,FALSE)</f>
        <v>Alpeggio</v>
      </c>
      <c r="D31" s="505">
        <f>'Colture-Allevamenti'!G62+'Colture-Allevamenti'!I62+'Colture-Allevamenti'!K62</f>
        <v>0</v>
      </c>
      <c r="E31" s="512">
        <f>VLOOKUP($C31,TabLavoro!$B$2:$E$34,2,FALSE)</f>
        <v>35</v>
      </c>
      <c r="F31" s="512">
        <f>D31*VLOOKUP(A31,TabAttività!$A$2:$G$62,7,FALSE)</f>
        <v>0</v>
      </c>
      <c r="G31" s="513">
        <f>VLOOKUP($A31,TabAttività!$A$2:$D$62,4,FALSE)</f>
        <v>42.49724891322963</v>
      </c>
      <c r="H31" s="513">
        <f>VLOOKUP($A31,TabAttività!$A$2:$E$62,5,FALSE)</f>
        <v>5.452358266819821</v>
      </c>
      <c r="I31" s="513">
        <f t="shared" si="0"/>
        <v>0</v>
      </c>
      <c r="J31" s="513">
        <f t="shared" si="1"/>
        <v>42.49724891322963</v>
      </c>
      <c r="K31" s="512">
        <f t="shared" si="2"/>
        <v>0</v>
      </c>
      <c r="L31" s="514">
        <f>VLOOKUP($C31,TabLavoro!$B$2:$E$38,3,FALSE)</f>
        <v>1</v>
      </c>
      <c r="M31" s="514">
        <f>VLOOKUP($C31,TabLavoro!$B$2:$E$38,4,FALSE)</f>
        <v>3</v>
      </c>
      <c r="N31" s="513">
        <f>F30+F31</f>
        <v>0</v>
      </c>
      <c r="O31" s="514">
        <f t="shared" si="3"/>
      </c>
      <c r="P31" s="517">
        <f>IF(AND(N31&gt;0,L31&gt;0,'Colture-Allevamenti'!AE48&gt;0.08),N31*O31,0)</f>
        <v>0</v>
      </c>
      <c r="Q31" s="512">
        <f>VLOOKUP($A31,TabAttività!$A$2:$I$62,9,FALSE)</f>
        <v>3.62</v>
      </c>
      <c r="R31" s="512">
        <f>'Colture-Allevamenti'!I62*Q31</f>
        <v>0</v>
      </c>
      <c r="S31" s="521"/>
    </row>
    <row r="32" spans="1:18" s="404" customFormat="1" ht="12.75">
      <c r="A32" s="491" t="s">
        <v>460</v>
      </c>
      <c r="B32" s="490" t="s">
        <v>467</v>
      </c>
      <c r="C32" s="504" t="str">
        <f>VLOOKUP($A32,TabAttività!$A$2:$F$62,6,FALSE)</f>
        <v>Castagno</v>
      </c>
      <c r="D32" s="505">
        <f>'Colture-Allevamenti'!G64+'Colture-Allevamenti'!I64+'Colture-Allevamenti'!K64</f>
        <v>0</v>
      </c>
      <c r="E32" s="505">
        <f>VLOOKUP($C32,TabLavoro!$B$2:$E$48,2,FALSE)</f>
        <v>0.25</v>
      </c>
      <c r="F32" s="505">
        <f>D32*VLOOKUP(A32,TabAttività!$A$2:$G$62,7,FALSE)</f>
        <v>0</v>
      </c>
      <c r="G32" s="506">
        <f>VLOOKUP($A32,TabAttività!$A$2:$D$62,4,FALSE)</f>
        <v>2564.4444444444443</v>
      </c>
      <c r="H32" s="506">
        <f>VLOOKUP($A32,TabAttività!$A$2:$E$62,5,FALSE)</f>
        <v>345.9257263009164</v>
      </c>
      <c r="I32" s="506">
        <f>IF(D32&gt;0,H32*(E32/D32)^0.25,0)</f>
        <v>0</v>
      </c>
      <c r="J32" s="506">
        <f>G32-I32</f>
        <v>2564.4444444444443</v>
      </c>
      <c r="K32" s="505">
        <f>D32*J32</f>
        <v>0</v>
      </c>
      <c r="L32" s="507">
        <f>VLOOKUP($C32,TabLavoro!$B$2:$E$48,3,FALSE)</f>
        <v>30</v>
      </c>
      <c r="M32" s="507">
        <f>VLOOKUP($C32,TabLavoro!$B$2:$E$48,4,FALSE)</f>
        <v>5</v>
      </c>
      <c r="N32" s="506">
        <f>F32</f>
        <v>0</v>
      </c>
      <c r="O32" s="507">
        <f>IF(N32&gt;0,L32*(E32/N32)^(1/M32),"")</f>
      </c>
      <c r="P32" s="508">
        <f>IF(AND(N32&gt;0,L32&gt;0),N32*O32,0)</f>
        <v>0</v>
      </c>
      <c r="Q32" s="505">
        <f>VLOOKUP($A32,TabAttività!$A$2:$I$62,9,FALSE)</f>
        <v>30.985</v>
      </c>
      <c r="R32" s="505">
        <f>'Colture-Allevamenti'!I63*Q32</f>
        <v>0</v>
      </c>
    </row>
    <row r="33" spans="1:18" s="404" customFormat="1" ht="12.75">
      <c r="A33" s="491" t="s">
        <v>150</v>
      </c>
      <c r="B33" s="490" t="s">
        <v>468</v>
      </c>
      <c r="C33" s="504" t="str">
        <f>VLOOKUP($A33,TabAttività!$A$2:$F$62,6,FALSE)</f>
        <v>Frutta a guscio</v>
      </c>
      <c r="D33" s="505">
        <f>'Colture-Allevamenti'!G66+'Colture-Allevamenti'!I66+'Colture-Allevamenti'!K66</f>
        <v>0</v>
      </c>
      <c r="E33" s="505">
        <f>VLOOKUP($C33,TabLavoro!$B$2:$E$48,2,FALSE)</f>
        <v>0.25</v>
      </c>
      <c r="F33" s="505">
        <f>D33*VLOOKUP(A33,TabAttività!$A$2:$G$62,7,FALSE)</f>
        <v>0</v>
      </c>
      <c r="G33" s="506">
        <f>VLOOKUP($A33,TabAttività!$A$2:$D$62,4,FALSE)</f>
        <v>2273.125</v>
      </c>
      <c r="H33" s="506">
        <f>VLOOKUP($A33,TabAttività!$A$2:$E$62,5,FALSE)</f>
        <v>306.62875863864537</v>
      </c>
      <c r="I33" s="506">
        <f>IF(D33&gt;0,H33*(E33/D33)^0.25,0)</f>
        <v>0</v>
      </c>
      <c r="J33" s="506">
        <f>G33-I33</f>
        <v>2273.125</v>
      </c>
      <c r="K33" s="505">
        <f>D33*J33</f>
        <v>0</v>
      </c>
      <c r="L33" s="507">
        <f>VLOOKUP($C33,TabLavoro!$B$2:$E$48,3,FALSE)</f>
        <v>40</v>
      </c>
      <c r="M33" s="507">
        <f>VLOOKUP($C33,TabLavoro!$B$2:$E$48,4,FALSE)</f>
        <v>5</v>
      </c>
      <c r="N33" s="506">
        <f>F33</f>
        <v>0</v>
      </c>
      <c r="O33" s="507">
        <f>IF(N33&gt;0,L33*(E33/N33)^(1/M33),"")</f>
      </c>
      <c r="P33" s="508">
        <f>IF(AND(N33&gt;0,L33&gt;0),N33*O33,0)</f>
        <v>0</v>
      </c>
      <c r="Q33" s="505">
        <f>VLOOKUP($A33,TabAttività!$A$2:$I$62,9,FALSE)</f>
        <v>61.97</v>
      </c>
      <c r="R33" s="505">
        <f>'Colture-Allevamenti'!I64*Q33</f>
        <v>0</v>
      </c>
    </row>
    <row r="34" spans="1:18" s="404" customFormat="1" ht="12.75">
      <c r="A34" s="491" t="s">
        <v>149</v>
      </c>
      <c r="B34" s="490" t="s">
        <v>461</v>
      </c>
      <c r="C34" s="504" t="s">
        <v>463</v>
      </c>
      <c r="D34" s="505">
        <f>'Colture-Allevamenti'!G68+'Colture-Allevamenti'!I68+'Colture-Allevamenti'!K68</f>
        <v>0</v>
      </c>
      <c r="E34" s="505">
        <f>VLOOKUP($C34,TabLavoro!$B$2:$E$48,2,FALSE)</f>
        <v>0.3</v>
      </c>
      <c r="F34" s="505">
        <f>D34*VLOOKUP(A34,TabAttività!$A$2:$G$62,7,FALSE)</f>
        <v>0</v>
      </c>
      <c r="G34" s="506">
        <f>VLOOKUP($A34,TabAttività!$A$2:$D$62,4,FALSE)</f>
        <v>9393.42214221422</v>
      </c>
      <c r="H34" s="506">
        <f>VLOOKUP($A34,TabAttività!$A$2:$E$62,5,FALSE)</f>
        <v>1232.7992799279928</v>
      </c>
      <c r="I34" s="506">
        <f>IF(D34&gt;0,H34*(E34/D34)^0.25,0)</f>
        <v>0</v>
      </c>
      <c r="J34" s="506">
        <f>G34-I34</f>
        <v>9393.42214221422</v>
      </c>
      <c r="K34" s="505">
        <f>D34*J34</f>
        <v>0</v>
      </c>
      <c r="L34" s="507">
        <f>VLOOKUP($C34,TabLavoro!$B$2:$E$48,3,FALSE)</f>
        <v>85</v>
      </c>
      <c r="M34" s="507">
        <f>VLOOKUP($C34,TabLavoro!$B$2:$E$48,4,FALSE)</f>
        <v>5</v>
      </c>
      <c r="N34" s="506">
        <f>F34</f>
        <v>0</v>
      </c>
      <c r="O34" s="507">
        <f>IF(N34&gt;0,L34*(E34/N34)^(1/M34),"")</f>
      </c>
      <c r="P34" s="508">
        <f>IF(AND(N34&gt;0,L34&gt;0),N34*O34,0)</f>
        <v>0</v>
      </c>
      <c r="Q34" s="505">
        <f>VLOOKUP($A34,TabAttività!$A$2:$I$62,9,FALSE)</f>
        <v>61.97</v>
      </c>
      <c r="R34" s="505">
        <f>'Colture-Allevamenti'!I65*Q34</f>
        <v>0</v>
      </c>
    </row>
    <row r="35" spans="1:19" s="17" customFormat="1" ht="12.75">
      <c r="A35" s="83"/>
      <c r="B35" s="683" t="s">
        <v>176</v>
      </c>
      <c r="C35" s="684"/>
      <c r="D35" s="18"/>
      <c r="E35" s="18"/>
      <c r="F35" s="18"/>
      <c r="G35" s="18"/>
      <c r="H35" s="18"/>
      <c r="I35" s="18"/>
      <c r="J35" s="18"/>
      <c r="K35" s="464">
        <f>IF(AND((OR(D15&gt;0,D18&gt;0,D30&gt;0,D31&gt;0)),(OR(D39&gt;0,D40&gt;0,D41&gt;0,D42&gt;0,D43&gt;0,D44&gt;0,D45&gt;0,D46&gt;0,D47&gt;0,D48&gt;0,D49&gt;0,D50&gt;0)))=FALSE,(SUM(K4:K34)-(K15+K18+K30+K31)),SUM(K4:K34))</f>
        <v>0</v>
      </c>
      <c r="L35" s="18"/>
      <c r="M35" s="18"/>
      <c r="N35" s="18"/>
      <c r="O35" s="18"/>
      <c r="P35" s="465">
        <f>IF(AND((OR(D15&gt;0,D18&gt;0,D30&gt;0,D31&gt;0)),(OR(D39&gt;0,D40&gt;0,D41&gt;0,D42&gt;0,D43&gt;0,D44&gt;0,D45&gt;0,D46&gt;0,D47&gt;0,D48&gt;0,D49&gt;0,D50&gt;0)))=FALSE,((SUM(P4:P34))-(P15+P18+P30+P31)),SUM(P4:P34))</f>
        <v>0</v>
      </c>
      <c r="Q35" s="63"/>
      <c r="R35" s="66">
        <f>SUM(R4:R31)</f>
        <v>0</v>
      </c>
      <c r="S35" s="63"/>
    </row>
    <row r="36" spans="1:17" s="17" customFormat="1" ht="12.75">
      <c r="A36" s="83"/>
      <c r="B36" s="72"/>
      <c r="C36" s="68"/>
      <c r="D36" s="20"/>
      <c r="E36" s="20"/>
      <c r="F36" s="20"/>
      <c r="G36" s="20"/>
      <c r="H36" s="20"/>
      <c r="I36" s="20"/>
      <c r="J36" s="20"/>
      <c r="K36" s="62"/>
      <c r="L36" s="20"/>
      <c r="M36" s="20"/>
      <c r="N36" s="20"/>
      <c r="O36" s="20"/>
      <c r="P36" s="9">
        <f>IF(AND(N36&gt;0,L36&gt;0),N36*O36,0)</f>
        <v>0</v>
      </c>
      <c r="Q36" s="64"/>
    </row>
    <row r="37" spans="1:19" s="17" customFormat="1" ht="12.75">
      <c r="A37" s="686" t="s">
        <v>10</v>
      </c>
      <c r="B37" s="687"/>
      <c r="C37" s="687"/>
      <c r="D37" s="672" t="s">
        <v>157</v>
      </c>
      <c r="E37" s="673"/>
      <c r="F37" s="674"/>
      <c r="G37" s="671" t="s">
        <v>233</v>
      </c>
      <c r="H37" s="671"/>
      <c r="I37" s="671"/>
      <c r="J37" s="671"/>
      <c r="K37" s="676" t="s">
        <v>167</v>
      </c>
      <c r="L37" s="671" t="s">
        <v>169</v>
      </c>
      <c r="M37" s="671"/>
      <c r="N37" s="671"/>
      <c r="O37" s="671"/>
      <c r="P37" s="675"/>
      <c r="Q37" s="679"/>
      <c r="R37" s="680"/>
      <c r="S37" s="308" t="s">
        <v>381</v>
      </c>
    </row>
    <row r="38" spans="1:19" s="17" customFormat="1" ht="14.25">
      <c r="A38" s="70" t="s">
        <v>147</v>
      </c>
      <c r="B38" s="16" t="s">
        <v>148</v>
      </c>
      <c r="C38" s="16" t="s">
        <v>160</v>
      </c>
      <c r="D38" s="16" t="s">
        <v>158</v>
      </c>
      <c r="E38" s="16" t="s">
        <v>159</v>
      </c>
      <c r="F38" s="16" t="s">
        <v>174</v>
      </c>
      <c r="G38" s="16" t="s">
        <v>155</v>
      </c>
      <c r="H38" s="16" t="s">
        <v>156</v>
      </c>
      <c r="I38" s="16" t="s">
        <v>234</v>
      </c>
      <c r="J38" s="16" t="s">
        <v>235</v>
      </c>
      <c r="K38" s="676"/>
      <c r="L38" s="16" t="s">
        <v>170</v>
      </c>
      <c r="M38" s="16" t="s">
        <v>175</v>
      </c>
      <c r="N38" s="16" t="s">
        <v>172</v>
      </c>
      <c r="O38" s="16" t="s">
        <v>171</v>
      </c>
      <c r="P38" s="306" t="s">
        <v>173</v>
      </c>
      <c r="Q38" s="681"/>
      <c r="R38" s="682"/>
      <c r="S38" s="309" t="s">
        <v>382</v>
      </c>
    </row>
    <row r="39" spans="1:19" ht="12.75">
      <c r="A39" s="82" t="s">
        <v>87</v>
      </c>
      <c r="B39" s="71" t="str">
        <f>VLOOKUP($A39,TabAttività!$A$2:$C$62,3,FALSE)</f>
        <v>BM1. Bovini &lt; 1 anno - maschi</v>
      </c>
      <c r="C39" s="67" t="str">
        <f>VLOOKUP($A39,TabAttività!$A$2:$F$62,6,FALSE)</f>
        <v>Altri Bovini</v>
      </c>
      <c r="D39" s="19">
        <f>('Colture-Allevamenti'!R10*'Colture-Allevamenti'!T10)/365+('Colture-Allevamenti'!V10*'Colture-Allevamenti'!X10)/365</f>
        <v>0</v>
      </c>
      <c r="E39" s="10">
        <f>VLOOKUP($C39,TabLavoro!$B$2:$E$34,2,FALSE)</f>
        <v>8.5</v>
      </c>
      <c r="F39" s="10">
        <f>D39*VLOOKUP(A39,TabAttività!$A$2:$G$62,7,FALSE)</f>
        <v>0</v>
      </c>
      <c r="G39" s="15">
        <f>VLOOKUP($A39,TabAttività!$A$2:$D$62,4,FALSE)</f>
        <v>95.22460484316328</v>
      </c>
      <c r="H39" s="15">
        <f>VLOOKUP($A39,TabAttività!$A$2:$E$62,5,FALSE)</f>
        <v>17.081095827066928</v>
      </c>
      <c r="I39" s="15">
        <f>IF(D39&gt;0,F39*H39*(E39/F39)^0.25,0)</f>
        <v>0</v>
      </c>
      <c r="J39" s="15">
        <f>F39*G39</f>
        <v>0</v>
      </c>
      <c r="K39" s="10">
        <f>J39-I39</f>
        <v>0</v>
      </c>
      <c r="L39" s="53"/>
      <c r="M39" s="53"/>
      <c r="N39" s="54"/>
      <c r="O39" s="53"/>
      <c r="P39" s="55"/>
      <c r="Q39" s="217"/>
      <c r="R39" s="55"/>
      <c r="S39" s="217"/>
    </row>
    <row r="40" spans="1:19" ht="12.75">
      <c r="A40" s="82" t="s">
        <v>91</v>
      </c>
      <c r="B40" s="71" t="str">
        <f>VLOOKUP($A40,TabAttività!$A$2:$C$62,3,FALSE)</f>
        <v>BF1. Bovini &lt; 1 anno - femmine</v>
      </c>
      <c r="C40" s="67" t="str">
        <f>VLOOKUP($A40,TabAttività!$A$2:$F$62,6,FALSE)</f>
        <v>Altri Bovini</v>
      </c>
      <c r="D40" s="19">
        <f>('Colture-Allevamenti'!R12*'Colture-Allevamenti'!T12)/365+('Colture-Allevamenti'!V12*'Colture-Allevamenti'!X12)/365</f>
        <v>0</v>
      </c>
      <c r="E40" s="10">
        <f>VLOOKUP($C40,TabLavoro!$B$2:$E$34,2,FALSE)</f>
        <v>8.5</v>
      </c>
      <c r="F40" s="10">
        <f>D40*VLOOKUP(A40,TabAttività!$A$2:$G$62,7,FALSE)</f>
        <v>0</v>
      </c>
      <c r="G40" s="15">
        <f>VLOOKUP($A40,TabAttività!$A$2:$D$62,4,FALSE)</f>
        <v>107.12966727473218</v>
      </c>
      <c r="H40" s="15">
        <f>VLOOKUP($A40,TabAttività!$A$2:$E$62,5,FALSE)</f>
        <v>19.292022895396492</v>
      </c>
      <c r="I40" s="15">
        <f aca="true" t="shared" si="4" ref="I40:I60">IF(D40&gt;0,F40*H40*(E40/F40)^0.25,0)</f>
        <v>0</v>
      </c>
      <c r="J40" s="15">
        <f aca="true" t="shared" si="5" ref="J40:J60">F40*G40</f>
        <v>0</v>
      </c>
      <c r="K40" s="10">
        <f aca="true" t="shared" si="6" ref="K40:K60">J40-I40</f>
        <v>0</v>
      </c>
      <c r="L40" s="53"/>
      <c r="M40" s="53"/>
      <c r="N40" s="54"/>
      <c r="O40" s="53"/>
      <c r="P40" s="55"/>
      <c r="Q40" s="217"/>
      <c r="R40" s="55"/>
      <c r="S40" s="217"/>
    </row>
    <row r="41" spans="1:19" ht="12.75">
      <c r="A41" s="82" t="s">
        <v>93</v>
      </c>
      <c r="B41" s="71" t="str">
        <f>VLOOKUP($A41,TabAttività!$A$2:$C$62,3,FALSE)</f>
        <v>BM2. Bovini 1-2 anni - maschi</v>
      </c>
      <c r="C41" s="67" t="str">
        <f>VLOOKUP($A41,TabAttività!$A$2:$F$62,6,FALSE)</f>
        <v>Altri Bovini</v>
      </c>
      <c r="D41" s="19">
        <f>('Colture-Allevamenti'!R14*'Colture-Allevamenti'!T14)/365+('Colture-Allevamenti'!V14*'Colture-Allevamenti'!X14)/365</f>
        <v>0</v>
      </c>
      <c r="E41" s="10">
        <f>VLOOKUP($C41,TabLavoro!$B$2:$E$34,2,FALSE)</f>
        <v>8.5</v>
      </c>
      <c r="F41" s="10">
        <f>D41*VLOOKUP(A41,TabAttività!$A$2:$G$62,7,FALSE)</f>
        <v>0</v>
      </c>
      <c r="G41" s="15">
        <f>VLOOKUP($A41,TabAttività!$A$2:$D$62,4,FALSE)</f>
        <v>142.4236474206584</v>
      </c>
      <c r="H41" s="15">
        <f>VLOOKUP($A41,TabAttività!$A$2:$E$62,5,FALSE)</f>
        <v>25.618581514743976</v>
      </c>
      <c r="I41" s="15">
        <f t="shared" si="4"/>
        <v>0</v>
      </c>
      <c r="J41" s="15">
        <f t="shared" si="5"/>
        <v>0</v>
      </c>
      <c r="K41" s="10">
        <f t="shared" si="6"/>
        <v>0</v>
      </c>
      <c r="L41" s="53"/>
      <c r="M41" s="53"/>
      <c r="N41" s="54"/>
      <c r="O41" s="53"/>
      <c r="P41" s="55"/>
      <c r="Q41" s="217"/>
      <c r="R41" s="55"/>
      <c r="S41" s="217"/>
    </row>
    <row r="42" spans="1:19" ht="12.75">
      <c r="A42" s="82" t="s">
        <v>95</v>
      </c>
      <c r="B42" s="71" t="str">
        <f>VLOOKUP($A42,TabAttività!$A$2:$C$62,3,FALSE)</f>
        <v>BF2. Bovini 1-2 anni - femmine</v>
      </c>
      <c r="C42" s="67" t="str">
        <f>VLOOKUP($A42,TabAttività!$A$2:$F$62,6,FALSE)</f>
        <v>Altri Bovini</v>
      </c>
      <c r="D42" s="19">
        <f>('Colture-Allevamenti'!R16*'Colture-Allevamenti'!T16)/365+('Colture-Allevamenti'!V16*'Colture-Allevamenti'!X16)/365</f>
        <v>0</v>
      </c>
      <c r="E42" s="10">
        <f>VLOOKUP($C42,TabLavoro!$B$2:$E$34,2,FALSE)</f>
        <v>8.5</v>
      </c>
      <c r="F42" s="10">
        <f>D42*VLOOKUP(A42,TabAttività!$A$2:$G$62,7,FALSE)</f>
        <v>0</v>
      </c>
      <c r="G42" s="15">
        <f>VLOOKUP($A42,TabAttività!$A$2:$D$62,4,FALSE)</f>
        <v>160.47992368536106</v>
      </c>
      <c r="H42" s="15">
        <f>VLOOKUP($A42,TabAttività!$A$2:$E$62,5,FALSE)</f>
        <v>28.78492305027413</v>
      </c>
      <c r="I42" s="15">
        <f t="shared" si="4"/>
        <v>0</v>
      </c>
      <c r="J42" s="15">
        <f t="shared" si="5"/>
        <v>0</v>
      </c>
      <c r="K42" s="10">
        <f t="shared" si="6"/>
        <v>0</v>
      </c>
      <c r="L42" s="53"/>
      <c r="M42" s="53"/>
      <c r="N42" s="54"/>
      <c r="O42" s="53"/>
      <c r="P42" s="55"/>
      <c r="Q42" s="217"/>
      <c r="R42" s="55"/>
      <c r="S42" s="217"/>
    </row>
    <row r="43" spans="1:19" ht="12.75">
      <c r="A43" s="82" t="s">
        <v>97</v>
      </c>
      <c r="B43" s="71" t="str">
        <f>VLOOKUP($A43,TabAttività!$A$2:$C$62,3,FALSE)</f>
        <v>BM3. Bovini &gt; 2 anni - maschi</v>
      </c>
      <c r="C43" s="67" t="str">
        <f>VLOOKUP($A43,TabAttività!$A$2:$F$62,6,FALSE)</f>
        <v>Altri Bovini</v>
      </c>
      <c r="D43" s="19">
        <f>('Colture-Allevamenti'!R18*'Colture-Allevamenti'!T18)/365+('Colture-Allevamenti'!V18*'Colture-Allevamenti'!X18)/365</f>
        <v>0</v>
      </c>
      <c r="E43" s="10">
        <f>VLOOKUP($C43,TabLavoro!$B$2:$E$34,2,FALSE)</f>
        <v>8.5</v>
      </c>
      <c r="F43" s="10">
        <f>D43*VLOOKUP(A43,TabAttività!$A$2:$G$62,7,FALSE)</f>
        <v>0</v>
      </c>
      <c r="G43" s="15">
        <f>VLOOKUP($A43,TabAttività!$A$2:$D$62,4,FALSE)</f>
        <v>237.64825226382166</v>
      </c>
      <c r="H43" s="15">
        <f>VLOOKUP($A43,TabAttività!$A$2:$E$62,5,FALSE)</f>
        <v>42.699677341810904</v>
      </c>
      <c r="I43" s="15">
        <f t="shared" si="4"/>
        <v>0</v>
      </c>
      <c r="J43" s="15">
        <f t="shared" si="5"/>
        <v>0</v>
      </c>
      <c r="K43" s="10">
        <f t="shared" si="6"/>
        <v>0</v>
      </c>
      <c r="L43" s="53"/>
      <c r="M43" s="53"/>
      <c r="N43" s="54"/>
      <c r="O43" s="53"/>
      <c r="P43" s="55"/>
      <c r="Q43" s="217"/>
      <c r="R43" s="55"/>
      <c r="S43" s="217"/>
    </row>
    <row r="44" spans="1:19" ht="12.75">
      <c r="A44" s="82" t="s">
        <v>99</v>
      </c>
      <c r="B44" s="71" t="str">
        <f>VLOOKUP($A44,TabAttività!$A$2:$C$62,3,FALSE)</f>
        <v>BF3. Bovini &gt; 2 anni - giovenche</v>
      </c>
      <c r="C44" s="67" t="str">
        <f>VLOOKUP($A44,TabAttività!$A$2:$F$62,6,FALSE)</f>
        <v>Altri Bovini</v>
      </c>
      <c r="D44" s="19">
        <f>('Colture-Allevamenti'!R20*'Colture-Allevamenti'!T20)/365+('Colture-Allevamenti'!V20*'Colture-Allevamenti'!X20)/365</f>
        <v>0</v>
      </c>
      <c r="E44" s="10">
        <f>VLOOKUP($C44,TabLavoro!$B$2:$E$34,2,FALSE)</f>
        <v>8.5</v>
      </c>
      <c r="F44" s="10">
        <f>D44*VLOOKUP(A44,TabAttività!$A$2:$G$62,7,FALSE)</f>
        <v>0</v>
      </c>
      <c r="G44" s="15">
        <f>VLOOKUP($A44,TabAttività!$A$2:$D$62,4,FALSE)</f>
        <v>267.6095909600932</v>
      </c>
      <c r="H44" s="15">
        <f>VLOOKUP($A44,TabAttività!$A$2:$E$62,5,FALSE)</f>
        <v>48.07694594567063</v>
      </c>
      <c r="I44" s="15">
        <f t="shared" si="4"/>
        <v>0</v>
      </c>
      <c r="J44" s="15">
        <f t="shared" si="5"/>
        <v>0</v>
      </c>
      <c r="K44" s="10">
        <f t="shared" si="6"/>
        <v>0</v>
      </c>
      <c r="L44" s="53"/>
      <c r="M44" s="53"/>
      <c r="N44" s="54"/>
      <c r="O44" s="53"/>
      <c r="P44" s="55"/>
      <c r="Q44" s="217"/>
      <c r="R44" s="55"/>
      <c r="S44" s="217"/>
    </row>
    <row r="45" spans="1:19" ht="12.75">
      <c r="A45" s="82" t="s">
        <v>104</v>
      </c>
      <c r="B45" s="71" t="str">
        <f>VLOOKUP($A45,TabAttività!$A$2:$C$62,3,FALSE)</f>
        <v>BV2. Bovini: Altre vacche</v>
      </c>
      <c r="C45" s="67" t="str">
        <f>VLOOKUP($A45,TabAttività!$A$2:$F$62,6,FALSE)</f>
        <v>Altri Bovini</v>
      </c>
      <c r="D45" s="19">
        <f>('Colture-Allevamenti'!R24*'Colture-Allevamenti'!T24)/365+('Colture-Allevamenti'!V24*'Colture-Allevamenti'!X24)/365</f>
        <v>0</v>
      </c>
      <c r="E45" s="10">
        <f>VLOOKUP($C45,TabLavoro!$B$2:$E$34,2,FALSE)</f>
        <v>8.5</v>
      </c>
      <c r="F45" s="10">
        <f>D45*VLOOKUP(A45,TabAttività!$A$2:$G$62,7,FALSE)</f>
        <v>0</v>
      </c>
      <c r="G45" s="15">
        <f>VLOOKUP($A45,TabAttività!$A$2:$D$62,4,FALSE)</f>
        <v>177.72557487127858</v>
      </c>
      <c r="H45" s="15">
        <f>VLOOKUP($A45,TabAttività!$A$2:$E$62,5,FALSE)</f>
        <v>31.945140134091464</v>
      </c>
      <c r="I45" s="15">
        <f t="shared" si="4"/>
        <v>0</v>
      </c>
      <c r="J45" s="15">
        <f t="shared" si="5"/>
        <v>0</v>
      </c>
      <c r="K45" s="10">
        <f t="shared" si="6"/>
        <v>0</v>
      </c>
      <c r="L45" s="14">
        <f>VLOOKUP($C45,TabLavoro!$B$2:$E$38,3,FALSE)</f>
        <v>5</v>
      </c>
      <c r="M45" s="14">
        <f>VLOOKUP($C45,TabLavoro!$B$2:$E$38,4,FALSE)</f>
        <v>4</v>
      </c>
      <c r="N45" s="15">
        <f>SUM(F39:F45)</f>
        <v>0</v>
      </c>
      <c r="O45" s="14">
        <f>IF(N45&gt;0,L45*(E45/N45)^(1/M45),"")</f>
      </c>
      <c r="P45" s="9">
        <f>IF(AND(N45&gt;0,L45&gt;0),N45*O45,0)</f>
        <v>0</v>
      </c>
      <c r="Q45" s="217"/>
      <c r="R45" s="55"/>
      <c r="S45" s="217"/>
    </row>
    <row r="46" spans="1:19" ht="12.75">
      <c r="A46" s="82" t="s">
        <v>101</v>
      </c>
      <c r="B46" s="71" t="str">
        <f>VLOOKUP($A46,TabAttività!$A$2:$C$62,3,FALSE)</f>
        <v>BV1. Bovini: Vacche da latte</v>
      </c>
      <c r="C46" s="67" t="str">
        <f>VLOOKUP($A46,TabAttività!$A$2:$F$62,6,FALSE)</f>
        <v>Vacche da latte</v>
      </c>
      <c r="D46" s="19">
        <f>('Colture-Allevamenti'!R22*'Colture-Allevamenti'!T22)/365+('Colture-Allevamenti'!V22*'Colture-Allevamenti'!X22)/365</f>
        <v>0</v>
      </c>
      <c r="E46" s="10">
        <f>VLOOKUP($C46,TabLavoro!$B$2:$E$34,2,FALSE)</f>
        <v>12</v>
      </c>
      <c r="F46" s="10">
        <f>D46*VLOOKUP(A46,TabAttività!$A$2:$G$62,7,FALSE)</f>
        <v>0</v>
      </c>
      <c r="G46" s="15">
        <f>VLOOKUP($A46,TabAttività!$A$2:$D$62,4,FALSE)</f>
        <v>745.3697599428676</v>
      </c>
      <c r="H46" s="15">
        <f>VLOOKUP($A46,TabAttività!$A$2:$E$62,5,FALSE)</f>
        <v>133.7947721183593</v>
      </c>
      <c r="I46" s="15">
        <f t="shared" si="4"/>
        <v>0</v>
      </c>
      <c r="J46" s="15">
        <f t="shared" si="5"/>
        <v>0</v>
      </c>
      <c r="K46" s="10">
        <f t="shared" si="6"/>
        <v>0</v>
      </c>
      <c r="L46" s="14">
        <f>VLOOKUP($C46,TabLavoro!$B$2:$E$38,3,FALSE)</f>
        <v>18</v>
      </c>
      <c r="M46" s="14">
        <f>VLOOKUP($C46,TabLavoro!$B$2:$E$38,4,FALSE)</f>
        <v>4</v>
      </c>
      <c r="N46" s="15">
        <f>F46</f>
        <v>0</v>
      </c>
      <c r="O46" s="14">
        <f>IF(N46&gt;0,L46*(E46/N46)^(1/M46),"")</f>
      </c>
      <c r="P46" s="9">
        <f>IF(AND(N46&gt;0,L46&gt;0),N46*O46,0)</f>
        <v>0</v>
      </c>
      <c r="Q46" s="217"/>
      <c r="R46" s="55"/>
      <c r="S46" s="217"/>
    </row>
    <row r="47" spans="1:19" ht="12.75">
      <c r="A47" s="82" t="s">
        <v>106</v>
      </c>
      <c r="B47" s="71" t="str">
        <f>VLOOKUP($A47,TabAttività!$A$2:$C$62,3,FALSE)</f>
        <v>OV1. Ovini: fattrici da latte</v>
      </c>
      <c r="C47" s="67" t="str">
        <f>VLOOKUP($A47,TabAttività!$A$2:$F$62,6,FALSE)</f>
        <v>Ovicaprini da Latte</v>
      </c>
      <c r="D47" s="19">
        <f>('Colture-Allevamenti'!R26*'Colture-Allevamenti'!T26)/365+('Colture-Allevamenti'!V26*'Colture-Allevamenti'!X26)/365</f>
        <v>0</v>
      </c>
      <c r="E47" s="10">
        <f>VLOOKUP($C47,TabLavoro!$B$2:$E$34,2,FALSE)</f>
        <v>27</v>
      </c>
      <c r="F47" s="10">
        <f>D47*VLOOKUP(A47,TabAttività!$A$2:$G$62,7,FALSE)</f>
        <v>0</v>
      </c>
      <c r="G47" s="15">
        <f>VLOOKUP($A47,TabAttività!$A$2:$D$62,4,FALSE)</f>
        <v>119.08843082636956</v>
      </c>
      <c r="H47" s="15">
        <f>VLOOKUP($A47,TabAttività!$A$2:$E$62,5,FALSE)</f>
        <v>27.386146703806876</v>
      </c>
      <c r="I47" s="15">
        <f t="shared" si="4"/>
        <v>0</v>
      </c>
      <c r="J47" s="15">
        <f t="shared" si="5"/>
        <v>0</v>
      </c>
      <c r="K47" s="10">
        <f t="shared" si="6"/>
        <v>0</v>
      </c>
      <c r="L47" s="53"/>
      <c r="M47" s="53"/>
      <c r="N47" s="54"/>
      <c r="O47" s="53"/>
      <c r="P47" s="55"/>
      <c r="Q47" s="217"/>
      <c r="R47" s="55"/>
      <c r="S47" s="217"/>
    </row>
    <row r="48" spans="1:19" ht="12.75">
      <c r="A48" s="82" t="s">
        <v>111</v>
      </c>
      <c r="B48" s="71" t="str">
        <f>VLOOKUP($A48,TabAttività!$A$2:$C$62,3,FALSE)</f>
        <v>CA1. Caprini: fattrici da latte</v>
      </c>
      <c r="C48" s="67" t="str">
        <f>VLOOKUP($A48,TabAttività!$A$2:$F$62,6,FALSE)</f>
        <v>Ovicaprini da Latte</v>
      </c>
      <c r="D48" s="19">
        <f>('Colture-Allevamenti'!R28*'Colture-Allevamenti'!T28)/365+('Colture-Allevamenti'!V28*'Colture-Allevamenti'!X28)/365</f>
        <v>0</v>
      </c>
      <c r="E48" s="10">
        <f>VLOOKUP($C48,TabLavoro!$B$2:$E$34,2,FALSE)</f>
        <v>27</v>
      </c>
      <c r="F48" s="10">
        <f>D48*VLOOKUP(A48,TabAttività!$A$2:$G$62,7,FALSE)</f>
        <v>0</v>
      </c>
      <c r="G48" s="15">
        <f>VLOOKUP($A48,TabAttività!$A$2:$D$62,4,FALSE)</f>
        <v>177.39905469277517</v>
      </c>
      <c r="H48" s="15">
        <f>VLOOKUP($A48,TabAttività!$A$2:$E$62,5,FALSE)</f>
        <v>25.01712040378667</v>
      </c>
      <c r="I48" s="15">
        <f t="shared" si="4"/>
        <v>0</v>
      </c>
      <c r="J48" s="15">
        <f t="shared" si="5"/>
        <v>0</v>
      </c>
      <c r="K48" s="10">
        <f t="shared" si="6"/>
        <v>0</v>
      </c>
      <c r="L48" s="14">
        <f>VLOOKUP($C48,TabLavoro!$B$2:$E$38,3,FALSE)</f>
        <v>3</v>
      </c>
      <c r="M48" s="14">
        <f>VLOOKUP($C48,TabLavoro!$B$2:$E$38,4,FALSE)</f>
        <v>4</v>
      </c>
      <c r="N48" s="15">
        <f>F47+F48</f>
        <v>0</v>
      </c>
      <c r="O48" s="14">
        <f>IF(N48&gt;0,L48*(E48/N48)^(1/M48),"")</f>
      </c>
      <c r="P48" s="9">
        <f>IF(AND(N48&gt;0,L48&gt;0),N48*O48,0)</f>
        <v>0</v>
      </c>
      <c r="Q48" s="217"/>
      <c r="R48" s="55"/>
      <c r="S48" s="217"/>
    </row>
    <row r="49" spans="1:19" ht="12.75">
      <c r="A49" s="82" t="s">
        <v>108</v>
      </c>
      <c r="B49" s="71" t="str">
        <f>VLOOKUP($A49,TabAttività!$A$2:$C$62,3,FALSE)</f>
        <v>OV2. Ovini: altri</v>
      </c>
      <c r="C49" s="67" t="str">
        <f>VLOOKUP($A49,TabAttività!$A$2:$F$62,6,FALSE)</f>
        <v>Altri Ovicaprini</v>
      </c>
      <c r="D49" s="19">
        <f>('Colture-Allevamenti'!R30*'Colture-Allevamenti'!T30)/365+('Colture-Allevamenti'!V30*'Colture-Allevamenti'!X30)/365</f>
        <v>0</v>
      </c>
      <c r="E49" s="10">
        <f>VLOOKUP($C49,TabLavoro!$B$2:$E$34,2,FALSE)</f>
        <v>16</v>
      </c>
      <c r="F49" s="10">
        <f>D49*VLOOKUP(A49,TabAttività!$A$2:$G$62,7,FALSE)</f>
        <v>0</v>
      </c>
      <c r="G49" s="15">
        <f>VLOOKUP($A49,TabAttività!$A$2:$D$62,4,FALSE)</f>
        <v>53.96570151574038</v>
      </c>
      <c r="H49" s="15">
        <f>VLOOKUP($A49,TabAttività!$A$2:$E$62,5,FALSE)</f>
        <v>8.006922396878828</v>
      </c>
      <c r="I49" s="15">
        <f t="shared" si="4"/>
        <v>0</v>
      </c>
      <c r="J49" s="15">
        <f t="shared" si="5"/>
        <v>0</v>
      </c>
      <c r="K49" s="10">
        <f t="shared" si="6"/>
        <v>0</v>
      </c>
      <c r="L49" s="53"/>
      <c r="M49" s="53"/>
      <c r="N49" s="54"/>
      <c r="O49" s="53"/>
      <c r="P49" s="55"/>
      <c r="Q49" s="217"/>
      <c r="R49" s="55"/>
      <c r="S49" s="217"/>
    </row>
    <row r="50" spans="1:19" ht="12.75">
      <c r="A50" s="82" t="s">
        <v>112</v>
      </c>
      <c r="B50" s="71" t="str">
        <f>VLOOKUP($A50,TabAttività!$A$2:$C$62,3,FALSE)</f>
        <v>CA2. Caprini: altri</v>
      </c>
      <c r="C50" s="67" t="str">
        <f>VLOOKUP($A50,TabAttività!$A$2:$F$62,6,FALSE)</f>
        <v>Altri Ovicaprini</v>
      </c>
      <c r="D50" s="19">
        <f>('Colture-Allevamenti'!R32*'Colture-Allevamenti'!T32)/365+('Colture-Allevamenti'!V32*'Colture-Allevamenti'!X32)/365</f>
        <v>0</v>
      </c>
      <c r="E50" s="10">
        <f>VLOOKUP($C50,TabLavoro!$B$2:$E$34,2,FALSE)</f>
        <v>16</v>
      </c>
      <c r="F50" s="10">
        <f>D50*VLOOKUP(A50,TabAttività!$A$2:$G$62,7,FALSE)</f>
        <v>0</v>
      </c>
      <c r="G50" s="15">
        <f>VLOOKUP($A50,TabAttività!$A$2:$D$62,4,FALSE)</f>
        <v>96.97290543206628</v>
      </c>
      <c r="H50" s="15">
        <f>VLOOKUP($A50,TabAttività!$A$2:$E$62,5,FALSE)</f>
        <v>16.15572568244566</v>
      </c>
      <c r="I50" s="15">
        <f t="shared" si="4"/>
        <v>0</v>
      </c>
      <c r="J50" s="15">
        <f t="shared" si="5"/>
        <v>0</v>
      </c>
      <c r="K50" s="10">
        <f t="shared" si="6"/>
        <v>0</v>
      </c>
      <c r="L50" s="14">
        <f>VLOOKUP($C50,TabLavoro!$B$2:$E$38,3,FALSE)</f>
        <v>2.5</v>
      </c>
      <c r="M50" s="14">
        <f>VLOOKUP($C50,TabLavoro!$B$2:$E$38,4,FALSE)</f>
        <v>4</v>
      </c>
      <c r="N50" s="15">
        <f>F49+F50</f>
        <v>0</v>
      </c>
      <c r="O50" s="14">
        <f>IF(N50&gt;0,L50*(E50/N50)^(1/M50),"")</f>
      </c>
      <c r="P50" s="9">
        <f>IF(AND(N50&gt;0,L50&gt;0),N50*O50,0)</f>
        <v>0</v>
      </c>
      <c r="Q50" s="217"/>
      <c r="R50" s="55"/>
      <c r="S50" s="217"/>
    </row>
    <row r="51" spans="1:19" ht="12.75">
      <c r="A51" s="82" t="s">
        <v>114</v>
      </c>
      <c r="B51" s="71" t="str">
        <f>VLOOKUP($A51,TabAttività!$A$2:$C$62,3,FALSE)</f>
        <v>EQ1. Equini</v>
      </c>
      <c r="C51" s="67" t="str">
        <f>VLOOKUP($A51,TabAttività!$A$2:$F$62,6,FALSE)</f>
        <v>Equini</v>
      </c>
      <c r="D51" s="19">
        <f>('Colture-Allevamenti'!R34*'Colture-Allevamenti'!T34)/365+('Colture-Allevamenti'!V34*'Colture-Allevamenti'!X34)/365</f>
        <v>0</v>
      </c>
      <c r="E51" s="10">
        <f>VLOOKUP($C51,TabLavoro!$B$2:$E$34,2,FALSE)</f>
        <v>1</v>
      </c>
      <c r="F51" s="10">
        <f>D51*VLOOKUP(A51,TabAttività!$A$2:$G$62,7,FALSE)</f>
        <v>0</v>
      </c>
      <c r="G51" s="15">
        <f>VLOOKUP($A51,TabAttività!$A$2:$D$62,4,FALSE)</f>
        <v>102.84590398890802</v>
      </c>
      <c r="H51" s="15">
        <f>VLOOKUP($A51,TabAttività!$A$2:$E$62,5,FALSE)</f>
        <v>21.763293035226678</v>
      </c>
      <c r="I51" s="15">
        <f t="shared" si="4"/>
        <v>0</v>
      </c>
      <c r="J51" s="15">
        <f t="shared" si="5"/>
        <v>0</v>
      </c>
      <c r="K51" s="10">
        <f t="shared" si="6"/>
        <v>0</v>
      </c>
      <c r="L51" s="14">
        <f>VLOOKUP($C51,TabLavoro!$B$2:$E$38,3,FALSE)</f>
        <v>8.5</v>
      </c>
      <c r="M51" s="14">
        <f>VLOOKUP($C51,TabLavoro!$B$2:$E$38,4,FALSE)</f>
        <v>4</v>
      </c>
      <c r="N51" s="15">
        <f>F51</f>
        <v>0</v>
      </c>
      <c r="O51" s="14">
        <f>IF(N51&gt;0,L51*(E51/N51)^(1/M51),"")</f>
      </c>
      <c r="P51" s="9">
        <f>IF(AND(N51&gt;0,L51&gt;0),N51*O51,0)</f>
        <v>0</v>
      </c>
      <c r="Q51" s="217"/>
      <c r="R51" s="307"/>
      <c r="S51" s="217"/>
    </row>
    <row r="52" spans="1:19" ht="12.75">
      <c r="A52" s="82" t="s">
        <v>117</v>
      </c>
      <c r="B52" s="71" t="str">
        <f>VLOOKUP($A52,TabAttività!$A$2:$C$62,3,FALSE)</f>
        <v>SU2. Suini - suinetti &lt; 20 Kg</v>
      </c>
      <c r="C52" s="67" t="str">
        <f>VLOOKUP($A52,TabAttività!$A$2:$F$62,6,FALSE)</f>
        <v>Suini</v>
      </c>
      <c r="D52" s="19">
        <f>('Colture-Allevamenti'!R36*'Colture-Allevamenti'!T36)/365+('Colture-Allevamenti'!V36*'Colture-Allevamenti'!X36)/365</f>
        <v>0</v>
      </c>
      <c r="E52" s="10">
        <f>VLOOKUP($C52,TabLavoro!$B$2:$E$34,2,FALSE)</f>
        <v>3</v>
      </c>
      <c r="F52" s="10">
        <f>D52*VLOOKUP(A52,TabAttività!$A$2:$G$62,7,FALSE)</f>
        <v>0</v>
      </c>
      <c r="G52" s="15">
        <f>VLOOKUP($A52,TabAttività!$A$2:$D$62,4,FALSE)</f>
        <v>37.441509088286544</v>
      </c>
      <c r="H52" s="15">
        <f>VLOOKUP($A52,TabAttività!$A$2:$E$62,5,FALSE)</f>
        <v>5.498078405670865</v>
      </c>
      <c r="I52" s="15">
        <f t="shared" si="4"/>
        <v>0</v>
      </c>
      <c r="J52" s="15">
        <f t="shared" si="5"/>
        <v>0</v>
      </c>
      <c r="K52" s="10">
        <f t="shared" si="6"/>
        <v>0</v>
      </c>
      <c r="L52" s="53"/>
      <c r="M52" s="53"/>
      <c r="N52" s="54"/>
      <c r="O52" s="53"/>
      <c r="P52" s="55"/>
      <c r="Q52" s="217"/>
      <c r="R52" s="55"/>
      <c r="S52" s="217"/>
    </row>
    <row r="53" spans="1:19" ht="12.75">
      <c r="A53" s="82" t="s">
        <v>120</v>
      </c>
      <c r="B53" s="71" t="str">
        <f>VLOOKUP($A53,TabAttività!$A$2:$C$62,3,FALSE)</f>
        <v>SU3. Suini - altri</v>
      </c>
      <c r="C53" s="67" t="str">
        <f>VLOOKUP($A53,TabAttività!$A$2:$F$62,6,FALSE)</f>
        <v>Suini</v>
      </c>
      <c r="D53" s="19">
        <f>('Colture-Allevamenti'!R38*'Colture-Allevamenti'!T38)/365+('Colture-Allevamenti'!V38*'Colture-Allevamenti'!X38)/365</f>
        <v>0</v>
      </c>
      <c r="E53" s="10">
        <f>VLOOKUP($C53,TabLavoro!$B$2:$E$34,2,FALSE)</f>
        <v>3</v>
      </c>
      <c r="F53" s="10">
        <f>D53*VLOOKUP(A53,TabAttività!$A$2:$G$62,7,FALSE)</f>
        <v>0</v>
      </c>
      <c r="G53" s="15">
        <f>VLOOKUP($A53,TabAttività!$A$2:$D$62,4,FALSE)</f>
        <v>98.53078913959534</v>
      </c>
      <c r="H53" s="15">
        <f>VLOOKUP($A53,TabAttività!$A$2:$E$62,5,FALSE)</f>
        <v>14.37770019412962</v>
      </c>
      <c r="I53" s="15">
        <f t="shared" si="4"/>
        <v>0</v>
      </c>
      <c r="J53" s="15">
        <f t="shared" si="5"/>
        <v>0</v>
      </c>
      <c r="K53" s="10">
        <f t="shared" si="6"/>
        <v>0</v>
      </c>
      <c r="L53" s="53"/>
      <c r="M53" s="53"/>
      <c r="N53" s="54"/>
      <c r="O53" s="53"/>
      <c r="P53" s="55"/>
      <c r="Q53" s="217"/>
      <c r="R53" s="55"/>
      <c r="S53" s="217"/>
    </row>
    <row r="54" spans="1:19" ht="12.75">
      <c r="A54" s="82" t="s">
        <v>122</v>
      </c>
      <c r="B54" s="71" t="str">
        <f>VLOOKUP($A54,TabAttività!$A$2:$C$62,3,FALSE)</f>
        <v>SU1. Suini - scrofe &gt; 50 kg</v>
      </c>
      <c r="C54" s="67" t="str">
        <f>VLOOKUP($A54,TabAttività!$A$2:$F$62,6,FALSE)</f>
        <v>Suini</v>
      </c>
      <c r="D54" s="19">
        <f>('Colture-Allevamenti'!R40*'Colture-Allevamenti'!T40)/365+('Colture-Allevamenti'!V40*'Colture-Allevamenti'!X40)/365</f>
        <v>0</v>
      </c>
      <c r="E54" s="10">
        <f>VLOOKUP($C54,TabLavoro!$B$2:$E$34,2,FALSE)</f>
        <v>3</v>
      </c>
      <c r="F54" s="10">
        <f>D54*VLOOKUP(A54,TabAttività!$A$2:$G$62,7,FALSE)</f>
        <v>0</v>
      </c>
      <c r="G54" s="15">
        <f>VLOOKUP($A54,TabAttività!$A$2:$D$62,4,FALSE)</f>
        <v>163.55977447841045</v>
      </c>
      <c r="H54" s="15">
        <f>VLOOKUP($A54,TabAttività!$A$2:$E$62,5,FALSE)</f>
        <v>23.89187310163453</v>
      </c>
      <c r="I54" s="15">
        <f t="shared" si="4"/>
        <v>0</v>
      </c>
      <c r="J54" s="15">
        <f t="shared" si="5"/>
        <v>0</v>
      </c>
      <c r="K54" s="10">
        <f t="shared" si="6"/>
        <v>0</v>
      </c>
      <c r="L54" s="14">
        <f>VLOOKUP($C54,TabLavoro!$B$2:$E$38,3,FALSE)</f>
        <v>6</v>
      </c>
      <c r="M54" s="14">
        <f>VLOOKUP($C54,TabLavoro!$B$2:$E$38,4,FALSE)</f>
        <v>4</v>
      </c>
      <c r="N54" s="15">
        <f>SUM(F52:F54)</f>
        <v>0</v>
      </c>
      <c r="O54" s="14">
        <f>IF(N54&gt;0,L54*(E54/N54)^(1/M54),"")</f>
      </c>
      <c r="P54" s="9">
        <f>IF(AND(N54&gt;0,L54&gt;0),N54*O54,0)</f>
        <v>0</v>
      </c>
      <c r="Q54" s="217"/>
      <c r="R54" s="55"/>
      <c r="S54" s="217"/>
    </row>
    <row r="55" spans="1:19" ht="12.75">
      <c r="A55" s="82" t="s">
        <v>124</v>
      </c>
      <c r="B55" s="71" t="str">
        <f>VLOOKUP($A55,TabAttività!$A$2:$C$62,3,FALSE)</f>
        <v>CON. Conigli fattrici</v>
      </c>
      <c r="C55" s="67" t="str">
        <f>VLOOKUP($A55,TabAttività!$A$2:$F$62,6,FALSE)</f>
        <v>Conigli</v>
      </c>
      <c r="D55" s="19">
        <f>('Colture-Allevamenti'!R42*'Colture-Allevamenti'!T42)/365+('Colture-Allevamenti'!V42*'Colture-Allevamenti'!X42)/365</f>
        <v>0</v>
      </c>
      <c r="E55" s="10">
        <f>VLOOKUP($C55,TabLavoro!$B$2:$E$34,2,FALSE)</f>
        <v>5</v>
      </c>
      <c r="F55" s="10">
        <f>D55*VLOOKUP(A55,TabAttività!$A$2:$G$62,7,FALSE)</f>
        <v>0</v>
      </c>
      <c r="G55" s="15">
        <f>VLOOKUP($A55,TabAttività!$A$2:$D$62,4,FALSE)</f>
        <v>47.81333333333333</v>
      </c>
      <c r="H55" s="15">
        <f>VLOOKUP($A55,TabAttività!$A$2:$E$62,5,FALSE)</f>
        <v>6.852657337216658</v>
      </c>
      <c r="I55" s="15">
        <f t="shared" si="4"/>
        <v>0</v>
      </c>
      <c r="J55" s="15">
        <f t="shared" si="5"/>
        <v>0</v>
      </c>
      <c r="K55" s="10">
        <f t="shared" si="6"/>
        <v>0</v>
      </c>
      <c r="L55" s="14">
        <f>VLOOKUP($C55,TabLavoro!$B$2:$E$38,3,FALSE)</f>
        <v>1.5</v>
      </c>
      <c r="M55" s="14">
        <f>VLOOKUP($C55,TabLavoro!$B$2:$E$38,4,FALSE)</f>
        <v>4</v>
      </c>
      <c r="N55" s="15">
        <f>F55</f>
        <v>0</v>
      </c>
      <c r="O55" s="14">
        <f>IF(N55&gt;0,L55*(E55/N55)^(1/M55),"")</f>
      </c>
      <c r="P55" s="9">
        <f>IF(AND(N55&gt;0,L55&gt;0),N55*O55,0)</f>
        <v>0</v>
      </c>
      <c r="Q55" s="217"/>
      <c r="R55" s="55"/>
      <c r="S55" s="217"/>
    </row>
    <row r="56" spans="1:19" ht="12.75">
      <c r="A56" s="82" t="s">
        <v>127</v>
      </c>
      <c r="B56" s="71" t="str">
        <f>VLOOKUP($A56,TabAttività!$A$2:$C$62,3,FALSE)</f>
        <v>AV1. Galline ovaiole (100 capi)</v>
      </c>
      <c r="C56" s="67" t="str">
        <f>VLOOKUP($A56,TabAttività!$A$2:$F$62,6,FALSE)</f>
        <v>Avicoli (100 capi)</v>
      </c>
      <c r="D56" s="19">
        <f>('Colture-Allevamenti'!R44*'Colture-Allevamenti'!T44)/365+('Colture-Allevamenti'!V44*'Colture-Allevamenti'!X44)/365</f>
        <v>0</v>
      </c>
      <c r="E56" s="10">
        <f>VLOOKUP($C56,TabLavoro!$B$2:$E$34,2,FALSE)</f>
        <v>5</v>
      </c>
      <c r="F56" s="10">
        <f>D56*VLOOKUP(A56,TabAttività!$A$2:$G$62,7,FALSE)</f>
        <v>0</v>
      </c>
      <c r="G56" s="15">
        <f>VLOOKUP($A56,TabAttività!$A$2:$D$62,4,FALSE)</f>
        <v>528.0434782608696</v>
      </c>
      <c r="H56" s="15">
        <f>VLOOKUP($A56,TabAttività!$A$2:$E$62,5,FALSE)</f>
        <v>80.37986038549609</v>
      </c>
      <c r="I56" s="15">
        <f t="shared" si="4"/>
        <v>0</v>
      </c>
      <c r="J56" s="15">
        <f t="shared" si="5"/>
        <v>0</v>
      </c>
      <c r="K56" s="10">
        <f t="shared" si="6"/>
        <v>0</v>
      </c>
      <c r="L56" s="53"/>
      <c r="M56" s="53"/>
      <c r="N56" s="54"/>
      <c r="O56" s="53"/>
      <c r="P56" s="55"/>
      <c r="Q56" s="217"/>
      <c r="R56" s="55"/>
      <c r="S56" s="217"/>
    </row>
    <row r="57" spans="1:19" ht="12.75">
      <c r="A57" s="82" t="s">
        <v>130</v>
      </c>
      <c r="B57" s="71" t="str">
        <f>VLOOKUP($A57,TabAttività!$A$2:$C$62,3,FALSE)</f>
        <v>AV2. Polli da carne (100 capi)</v>
      </c>
      <c r="C57" s="67" t="str">
        <f>VLOOKUP($A57,TabAttività!$A$2:$F$62,6,FALSE)</f>
        <v>Avicoli (100 capi)</v>
      </c>
      <c r="D57" s="19">
        <f>('Colture-Allevamenti'!R46*'Colture-Allevamenti'!T46)/365+('Colture-Allevamenti'!V46*'Colture-Allevamenti'!X46)/365</f>
        <v>0</v>
      </c>
      <c r="E57" s="10">
        <f>VLOOKUP($C57,TabLavoro!$B$2:$E$34,2,FALSE)</f>
        <v>5</v>
      </c>
      <c r="F57" s="10">
        <f>D57*VLOOKUP(A57,TabAttività!$A$2:$G$62,7,FALSE)</f>
        <v>0</v>
      </c>
      <c r="G57" s="15">
        <f>VLOOKUP($A57,TabAttività!$A$2:$D$62,4,FALSE)</f>
        <v>365.78171091445427</v>
      </c>
      <c r="H57" s="15">
        <f>VLOOKUP($A57,TabAttività!$A$2:$E$62,5,FALSE)</f>
        <v>47.05421234572526</v>
      </c>
      <c r="I57" s="15">
        <f t="shared" si="4"/>
        <v>0</v>
      </c>
      <c r="J57" s="15">
        <f t="shared" si="5"/>
        <v>0</v>
      </c>
      <c r="K57" s="10">
        <f t="shared" si="6"/>
        <v>0</v>
      </c>
      <c r="L57" s="53"/>
      <c r="M57" s="53"/>
      <c r="N57" s="54"/>
      <c r="O57" s="53"/>
      <c r="P57" s="55"/>
      <c r="Q57" s="217"/>
      <c r="R57" s="55"/>
      <c r="S57" s="217"/>
    </row>
    <row r="58" spans="1:19" ht="12.75">
      <c r="A58" s="82" t="s">
        <v>132</v>
      </c>
      <c r="B58" s="71" t="str">
        <f>VLOOKUP($A58,TabAttività!$A$2:$C$62,3,FALSE)</f>
        <v>AV3. Altri Volatili (100 capi)</v>
      </c>
      <c r="C58" s="67" t="str">
        <f>VLOOKUP($A58,TabAttività!$A$2:$F$62,6,FALSE)</f>
        <v>Avicoli (100 capi)</v>
      </c>
      <c r="D58" s="19">
        <f>('Colture-Allevamenti'!R48*'Colture-Allevamenti'!T48)/365+('Colture-Allevamenti'!V48*'Colture-Allevamenti'!X48)/365</f>
        <v>0</v>
      </c>
      <c r="E58" s="10">
        <f>VLOOKUP($C58,TabLavoro!$B$2:$E$34,2,FALSE)</f>
        <v>5</v>
      </c>
      <c r="F58" s="10">
        <f>D58*VLOOKUP(A58,TabAttività!$A$2:$G$62,7,FALSE)</f>
        <v>0</v>
      </c>
      <c r="G58" s="15">
        <f>VLOOKUP($A58,TabAttività!$A$2:$D$62,4,FALSE)</f>
        <v>175.51673892554197</v>
      </c>
      <c r="H58" s="15">
        <f>VLOOKUP($A58,TabAttività!$A$2:$E$62,5,FALSE)</f>
        <v>40.401366635249765</v>
      </c>
      <c r="I58" s="15">
        <f t="shared" si="4"/>
        <v>0</v>
      </c>
      <c r="J58" s="15">
        <f t="shared" si="5"/>
        <v>0</v>
      </c>
      <c r="K58" s="10">
        <f t="shared" si="6"/>
        <v>0</v>
      </c>
      <c r="L58" s="14">
        <f>VLOOKUP($C58,TabLavoro!$B$2:$E$38,3,FALSE)</f>
        <v>7</v>
      </c>
      <c r="M58" s="14">
        <f>VLOOKUP($C58,TabLavoro!$B$2:$E$38,4,FALSE)</f>
        <v>4</v>
      </c>
      <c r="N58" s="15">
        <f>SUM(F56:F58)</f>
        <v>0</v>
      </c>
      <c r="O58" s="14">
        <f>IF(N58&gt;0,L58*(E58/N58)^(1/M58),"")</f>
      </c>
      <c r="P58" s="9">
        <f>IF(AND(N58&gt;0,L58&gt;0),N58*O58,0)</f>
        <v>0</v>
      </c>
      <c r="Q58" s="217"/>
      <c r="R58" s="55"/>
      <c r="S58" s="217"/>
    </row>
    <row r="59" spans="1:19" ht="12.75">
      <c r="A59" s="82" t="s">
        <v>134</v>
      </c>
      <c r="B59" s="71" t="str">
        <f>VLOOKUP($A59,TabAttività!$A$2:$C$62,3,FALSE)</f>
        <v>API. Api</v>
      </c>
      <c r="C59" s="67" t="str">
        <f>VLOOKUP($A59,TabAttività!$A$2:$F$62,6,FALSE)</f>
        <v>Api (N° Arnie)</v>
      </c>
      <c r="D59" s="19">
        <f>('Colture-Allevamenti'!R50*'Colture-Allevamenti'!T50)/365+('Colture-Allevamenti'!V50*'Colture-Allevamenti'!X50)/365</f>
        <v>0</v>
      </c>
      <c r="E59" s="10">
        <f>VLOOKUP($C59,TabLavoro!$B$2:$E$34,2,FALSE)</f>
        <v>12</v>
      </c>
      <c r="F59" s="10">
        <f>D59*VLOOKUP(A59,TabAttività!$A$2:$G$62,7,FALSE)</f>
        <v>0</v>
      </c>
      <c r="G59" s="15">
        <f>VLOOKUP($A59,TabAttività!$A$2:$D$62,4,FALSE)</f>
        <v>155.94094972067037</v>
      </c>
      <c r="H59" s="15">
        <f>VLOOKUP($A59,TabAttività!$A$2:$E$62,5,FALSE)</f>
        <v>35.78648044692737</v>
      </c>
      <c r="I59" s="15">
        <f t="shared" si="4"/>
        <v>0</v>
      </c>
      <c r="J59" s="15">
        <f t="shared" si="5"/>
        <v>0</v>
      </c>
      <c r="K59" s="10">
        <f t="shared" si="6"/>
        <v>0</v>
      </c>
      <c r="L59" s="14">
        <f>VLOOKUP($C59,TabLavoro!$B$2:$E$38,3,FALSE)</f>
        <v>2</v>
      </c>
      <c r="M59" s="14">
        <f>VLOOKUP($C59,TabLavoro!$B$2:$E$38,4,FALSE)</f>
        <v>5.5</v>
      </c>
      <c r="N59" s="15">
        <f>F59</f>
        <v>0</v>
      </c>
      <c r="O59" s="15">
        <f>IF(N59&gt;0,L59*(E59/N59)^(1/M59),"")</f>
      </c>
      <c r="P59" s="9">
        <f>IF(AND(N59&gt;0,L59&gt;0),N59*O59,0)</f>
        <v>0</v>
      </c>
      <c r="Q59" s="217"/>
      <c r="R59" s="55"/>
      <c r="S59" s="287">
        <f>D59*G59*1.25</f>
        <v>0</v>
      </c>
    </row>
    <row r="60" spans="1:19" ht="12.75">
      <c r="A60" s="82" t="s">
        <v>137</v>
      </c>
      <c r="B60" s="71" t="str">
        <f>VLOOKUP($A60,TabAttività!$A$2:$C$62,3,FALSE)</f>
        <v>ALA. Altri allevamenti (100 capi)</v>
      </c>
      <c r="C60" s="67" t="str">
        <f>VLOOKUP($A60,TabAttività!$A$2:$F$62,6,FALSE)</f>
        <v>Altri allevamenti (100 capi)</v>
      </c>
      <c r="D60" s="19">
        <f>('Colture-Allevamenti'!R52*'Colture-Allevamenti'!T52)/365+('Colture-Allevamenti'!V52*'Colture-Allevamenti'!X52)/365</f>
        <v>0</v>
      </c>
      <c r="E60" s="10">
        <f>VLOOKUP($C60,TabLavoro!$B$2:$E$34,2,FALSE)</f>
        <v>5</v>
      </c>
      <c r="F60" s="10">
        <f>D60*VLOOKUP(A60,TabAttività!$A$2:$G$62,7,FALSE)</f>
        <v>0</v>
      </c>
      <c r="G60" s="15">
        <f>VLOOKUP($A60,TabAttività!$A$2:$D$62,4,FALSE)</f>
        <v>169.83243166823752</v>
      </c>
      <c r="H60" s="15">
        <f>VLOOKUP($A60,TabAttività!$A$2:$E$62,5,FALSE)</f>
        <v>39.142262016965134</v>
      </c>
      <c r="I60" s="15">
        <f t="shared" si="4"/>
        <v>0</v>
      </c>
      <c r="J60" s="15">
        <f t="shared" si="5"/>
        <v>0</v>
      </c>
      <c r="K60" s="10">
        <f t="shared" si="6"/>
        <v>0</v>
      </c>
      <c r="L60" s="14">
        <f>VLOOKUP($C60,TabLavoro!$B$2:$E$38,3,FALSE)</f>
        <v>7</v>
      </c>
      <c r="M60" s="14">
        <f>VLOOKUP($C60,TabLavoro!$B$2:$E$38,4,FALSE)</f>
        <v>4</v>
      </c>
      <c r="N60" s="15">
        <f>F60</f>
        <v>0</v>
      </c>
      <c r="O60" s="14">
        <f>IF(N60&gt;0,L60*(E60/N60)^(1/M60),"")</f>
      </c>
      <c r="P60" s="9">
        <f>IF(AND(N60&gt;0,L60&gt;0),N60*O60,0)</f>
        <v>0</v>
      </c>
      <c r="Q60" s="217"/>
      <c r="R60" s="55"/>
      <c r="S60" s="217"/>
    </row>
    <row r="61" spans="1:19" s="17" customFormat="1" ht="12.75">
      <c r="A61" s="83"/>
      <c r="B61" s="688" t="s">
        <v>177</v>
      </c>
      <c r="C61" s="688"/>
      <c r="D61" s="18"/>
      <c r="E61" s="18"/>
      <c r="F61" s="18"/>
      <c r="G61" s="18"/>
      <c r="H61" s="18"/>
      <c r="I61" s="18"/>
      <c r="J61" s="18"/>
      <c r="K61" s="61">
        <f>SUM(K39:K60)</f>
        <v>0</v>
      </c>
      <c r="L61" s="18"/>
      <c r="M61" s="18"/>
      <c r="N61" s="18"/>
      <c r="O61" s="18"/>
      <c r="P61" s="52">
        <f>SUM(P39:P60)</f>
        <v>0</v>
      </c>
      <c r="Q61" s="18"/>
      <c r="R61" s="18"/>
      <c r="S61" s="18"/>
    </row>
    <row r="62" spans="1:17" s="17" customFormat="1" ht="12.75">
      <c r="A62" s="83"/>
      <c r="B62" s="72"/>
      <c r="C62" s="68"/>
      <c r="D62" s="20"/>
      <c r="E62" s="20"/>
      <c r="F62" s="20"/>
      <c r="G62" s="20"/>
      <c r="H62" s="20"/>
      <c r="I62" s="20"/>
      <c r="J62" s="20"/>
      <c r="K62" s="62"/>
      <c r="L62" s="20"/>
      <c r="M62" s="20"/>
      <c r="N62" s="20"/>
      <c r="O62" s="20"/>
      <c r="P62" s="9">
        <f>IF(AND(N62&gt;0,L62&gt;0),N62*O62,0)</f>
        <v>0</v>
      </c>
      <c r="Q62" s="64"/>
    </row>
    <row r="63" spans="1:19" s="17" customFormat="1" ht="12.75">
      <c r="A63" s="686" t="s">
        <v>10</v>
      </c>
      <c r="B63" s="687"/>
      <c r="C63" s="687"/>
      <c r="D63" s="672" t="s">
        <v>157</v>
      </c>
      <c r="E63" s="673"/>
      <c r="F63" s="674"/>
      <c r="G63" s="671" t="s">
        <v>233</v>
      </c>
      <c r="H63" s="671"/>
      <c r="I63" s="671"/>
      <c r="J63" s="671"/>
      <c r="K63" s="676" t="s">
        <v>167</v>
      </c>
      <c r="L63" s="671" t="s">
        <v>169</v>
      </c>
      <c r="M63" s="671"/>
      <c r="N63" s="671"/>
      <c r="O63" s="671"/>
      <c r="P63" s="671"/>
      <c r="Q63" s="679"/>
      <c r="R63" s="680"/>
      <c r="S63" s="677" t="s">
        <v>397</v>
      </c>
    </row>
    <row r="64" spans="1:19" s="17" customFormat="1" ht="14.25">
      <c r="A64" s="70" t="s">
        <v>147</v>
      </c>
      <c r="B64" s="16" t="s">
        <v>148</v>
      </c>
      <c r="C64" s="16" t="s">
        <v>160</v>
      </c>
      <c r="D64" s="16" t="s">
        <v>158</v>
      </c>
      <c r="E64" s="16" t="s">
        <v>159</v>
      </c>
      <c r="F64" s="16" t="s">
        <v>174</v>
      </c>
      <c r="G64" s="16" t="s">
        <v>155</v>
      </c>
      <c r="H64" s="16" t="s">
        <v>156</v>
      </c>
      <c r="I64" s="16" t="s">
        <v>234</v>
      </c>
      <c r="J64" s="16" t="s">
        <v>235</v>
      </c>
      <c r="K64" s="676"/>
      <c r="L64" s="16" t="s">
        <v>170</v>
      </c>
      <c r="M64" s="16" t="s">
        <v>175</v>
      </c>
      <c r="N64" s="16" t="s">
        <v>172</v>
      </c>
      <c r="O64" s="16" t="s">
        <v>171</v>
      </c>
      <c r="P64" s="16" t="s">
        <v>173</v>
      </c>
      <c r="Q64" s="681"/>
      <c r="R64" s="682"/>
      <c r="S64" s="678"/>
    </row>
    <row r="65" spans="1:19" ht="12.75">
      <c r="A65" s="82" t="s">
        <v>140</v>
      </c>
      <c r="B65" s="71" t="str">
        <f>VLOOKUP($A65,TabAttività!$A$2:$C$62,3,FALSE)</f>
        <v>TR1. Vinificazione/Imbottigliamento (ql)</v>
      </c>
      <c r="C65" s="67" t="str">
        <f>VLOOKUP($A65,TabAttività!$A$2:$F$62,6,FALSE)</f>
        <v>Trasformazione vitivinicola</v>
      </c>
      <c r="D65" s="165">
        <f>IF('Lavoro-Trasformazione'!AW10&gt;Controlli!C45,'Lavoro-Trasformazione'!AW10,0)</f>
        <v>0</v>
      </c>
      <c r="E65" s="9">
        <f>VLOOKUP($C65,TabLavoro!$B$2:$E$41,2,FALSE)</f>
        <v>14</v>
      </c>
      <c r="F65" s="9">
        <f>D65*VLOOKUP(A65,TabAttività!$A$2:$G$65,7,FALSE)</f>
        <v>0</v>
      </c>
      <c r="G65" s="166">
        <f>VLOOKUP($A65,TabAttività!$A$2:$D$62,4,FALSE)</f>
        <v>178.70987999985073</v>
      </c>
      <c r="H65" s="166">
        <f>VLOOKUP($A65,TabAttività!$A$2:$E$62,5,FALSE)</f>
        <v>24.966455574024938</v>
      </c>
      <c r="I65" s="166">
        <f>IF(D65&gt;0,F65*H65*(E65/F65)^0.25,0)</f>
        <v>0</v>
      </c>
      <c r="J65" s="166">
        <f>F65*G65</f>
        <v>0</v>
      </c>
      <c r="K65" s="9">
        <f>J65-I65</f>
        <v>0</v>
      </c>
      <c r="L65" s="290">
        <f>IF('Lavoro-Trasformazione'!BI10="no",(VLOOKUP($C65,TabLavoro!$B$2:$E$46,3,FALSE)),((VLOOKUP($C65,TabLavoro!$B$2:$E$46,3,FALSE))*0.6))</f>
        <v>0.42</v>
      </c>
      <c r="M65" s="14">
        <f>VLOOKUP($C65,TabLavoro!$B$2:$E$38,4,FALSE)</f>
        <v>4</v>
      </c>
      <c r="N65" s="15">
        <f>SUM(F63:F65)</f>
        <v>0</v>
      </c>
      <c r="O65" s="14">
        <f>IF(N65&gt;0,L65*(E65/N65)^(1/M65),"")</f>
      </c>
      <c r="P65" s="9">
        <f>IF(AND(N65&gt;0,L65&gt;0),N65*O65,0)</f>
        <v>0</v>
      </c>
      <c r="Q65" s="217"/>
      <c r="R65" s="217"/>
      <c r="S65" s="9"/>
    </row>
    <row r="66" spans="1:18" ht="12.75">
      <c r="A66" s="82" t="s">
        <v>142</v>
      </c>
      <c r="B66" s="71" t="str">
        <f>VLOOKUP($A66,TabAttività!$A$2:$C$62,3,FALSE)</f>
        <v>TR2. Lavorazione latte bovino (ql)</v>
      </c>
      <c r="C66" s="67" t="str">
        <f>VLOOKUP($A66,TabAttività!$A$2:$F$62,6,FALSE)</f>
        <v>Lavorazione latte bovino (ql)</v>
      </c>
      <c r="D66" s="165">
        <f>IF('Lavoro-Trasformazione'!AW12&gt;Controlli!C47,'Lavoro-Trasformazione'!AW12,0)</f>
        <v>0</v>
      </c>
      <c r="E66" s="9">
        <f>VLOOKUP($C66,TabLavoro!$B$2:$E$41,2,FALSE)</f>
        <v>300</v>
      </c>
      <c r="F66" s="9">
        <f>D66*VLOOKUP(A66,TabAttività!$A$2:$G$65,7,FALSE)</f>
        <v>0</v>
      </c>
      <c r="G66" s="166">
        <f>VLOOKUP($A66,TabAttività!$A$2:$D$62,4,FALSE)</f>
        <v>15.58886068175599</v>
      </c>
      <c r="H66" s="166">
        <f>VLOOKUP($A66,TabAttività!$A$2:$E$62,5,FALSE)</f>
        <v>3.000981339283899</v>
      </c>
      <c r="I66" s="166">
        <f aca="true" t="shared" si="7" ref="I66:I71">IF(D66&gt;0,F66*H66*(E66/F66)^0.25,0)</f>
        <v>0</v>
      </c>
      <c r="J66" s="166">
        <f aca="true" t="shared" si="8" ref="J66:J71">F66*G66</f>
        <v>0</v>
      </c>
      <c r="K66" s="9">
        <f aca="true" t="shared" si="9" ref="K66:K71">J66-I66</f>
        <v>0</v>
      </c>
      <c r="L66" s="295">
        <f>'Lavoro-Trasformazione'!BI12</f>
        <v>0</v>
      </c>
      <c r="M66" s="14">
        <f>IF(D66&gt;0,(D66/L66),"")</f>
      </c>
      <c r="N66" s="15">
        <f aca="true" t="shared" si="10" ref="N66:N71">F66</f>
        <v>0</v>
      </c>
      <c r="O66" s="15">
        <f>IF(N66&gt;0,(1.37*LN(M66)+4.1),"")</f>
      </c>
      <c r="P66" s="9">
        <f>IF(AND(N66&gt;0,L66&gt;0),(O66/8)*L66,0)</f>
        <v>0</v>
      </c>
      <c r="Q66" s="217"/>
      <c r="R66" s="217"/>
    </row>
    <row r="67" spans="1:18" ht="12.75">
      <c r="A67" s="81" t="s">
        <v>143</v>
      </c>
      <c r="B67" s="71" t="str">
        <f>VLOOKUP($A67,TabAttività!$A$2:$C$62,3,FALSE)</f>
        <v>TR3. Lavorazione latte ovicaprino (ql)</v>
      </c>
      <c r="C67" s="67" t="str">
        <f>VLOOKUP($A67,TabAttività!$A$2:$F$62,6,FALSE)</f>
        <v>Lavorazione latte ovicaprino (ql)</v>
      </c>
      <c r="D67" s="165">
        <f>IF('Lavoro-Trasformazione'!AW14&gt;Controlli!C49,'Lavoro-Trasformazione'!AW14,0)</f>
        <v>0</v>
      </c>
      <c r="E67" s="9">
        <f>VLOOKUP($C67,TabLavoro!$B$2:$E$41,2,FALSE)</f>
        <v>100</v>
      </c>
      <c r="F67" s="9">
        <f>D67*VLOOKUP(A67,TabAttività!$A$2:$G$62,7,FALSE)</f>
        <v>0</v>
      </c>
      <c r="G67" s="166">
        <f>VLOOKUP($A67,TabAttività!$A$2:$D$62,4,FALSE)</f>
        <v>56.32266064093693</v>
      </c>
      <c r="H67" s="166">
        <f>VLOOKUP($A67,TabAttività!$A$2:$E$62,5,FALSE)</f>
        <v>9.028243042380316</v>
      </c>
      <c r="I67" s="166">
        <f t="shared" si="7"/>
        <v>0</v>
      </c>
      <c r="J67" s="166">
        <f t="shared" si="8"/>
        <v>0</v>
      </c>
      <c r="K67" s="9">
        <f t="shared" si="9"/>
        <v>0</v>
      </c>
      <c r="L67" s="290">
        <f>VLOOKUP($C67,TabLavoro!$B$2:$E$41,3,FALSE)</f>
        <v>0.68</v>
      </c>
      <c r="M67" s="14">
        <f>VLOOKUP($C67,TabLavoro!$B$2:$E$41,4,FALSE)</f>
        <v>2</v>
      </c>
      <c r="N67" s="15">
        <f t="shared" si="10"/>
        <v>0</v>
      </c>
      <c r="O67" s="15">
        <f aca="true" t="shared" si="11" ref="O67:O72">IF(N67&gt;0,L67*(E67/N67)^(1/M67),"")</f>
      </c>
      <c r="P67" s="9">
        <f>IF(AND(N67&gt;0,L67&gt;0),N67*O67,0)</f>
        <v>0</v>
      </c>
      <c r="Q67" s="217"/>
      <c r="R67" s="217"/>
    </row>
    <row r="68" spans="1:19" ht="12.75">
      <c r="A68" s="81" t="s">
        <v>145</v>
      </c>
      <c r="B68" s="71" t="str">
        <f>VLOOKUP($A68,TabAttività!$A$2:$C$62,3,FALSE)</f>
        <v>TR4. Altre lavorazioni</v>
      </c>
      <c r="C68" s="67" t="str">
        <f>VLOOKUP($A68,TabAttività!$A$2:$F$62,6,FALSE)</f>
        <v>Altre lavorazioni</v>
      </c>
      <c r="D68" s="165">
        <f>'Lavoro-Trasformazione'!AW18</f>
        <v>0</v>
      </c>
      <c r="E68" s="9">
        <f>VLOOKUP($C68,TabLavoro!$B$2:$E$41,2,FALSE)</f>
        <v>3000</v>
      </c>
      <c r="F68" s="9">
        <f>D68*VLOOKUP(A68,TabAttività!$A$2:$G$62,7,FALSE)</f>
        <v>0</v>
      </c>
      <c r="G68" s="166">
        <f>VLOOKUP($A68,TabAttività!$A$2:$D$62,4,FALSE)</f>
        <v>0.733459000942507</v>
      </c>
      <c r="H68" s="166">
        <f>VLOOKUP($A68,TabAttività!$A$2:$E$62,5,FALSE)</f>
        <v>0.30560791705937795</v>
      </c>
      <c r="I68" s="166">
        <f>IF(D68&gt;0,F68*H68*(E68/F68)^0.25,0)</f>
        <v>0</v>
      </c>
      <c r="J68" s="166">
        <f>F68*G68</f>
        <v>0</v>
      </c>
      <c r="K68" s="9">
        <f>J68-I68</f>
        <v>0</v>
      </c>
      <c r="L68" s="296">
        <f>(VLOOKUP($C68,TabLavoro!$B$2:$E$41,3,FALSE))</f>
        <v>0.004</v>
      </c>
      <c r="M68" s="14">
        <f>VLOOKUP($C68,TabLavoro!$B$2:$E$41,4,FALSE)</f>
        <v>4</v>
      </c>
      <c r="N68" s="15">
        <f>F68</f>
        <v>0</v>
      </c>
      <c r="O68" s="222">
        <f t="shared" si="11"/>
      </c>
      <c r="P68" s="9">
        <f>IF(AND(N68&gt;0,L68&gt;0),N68*O68,0)</f>
        <v>0</v>
      </c>
      <c r="Q68" s="217"/>
      <c r="R68" s="217"/>
      <c r="S68" s="304">
        <f>SUM(S4:S60)</f>
        <v>0</v>
      </c>
    </row>
    <row r="69" spans="1:18" ht="12.75">
      <c r="A69" s="81" t="s">
        <v>298</v>
      </c>
      <c r="B69" s="71" t="str">
        <f>VLOOKUP($A69,TabAttività!$A$2:$C$62,3,FALSE)</f>
        <v>VD1. Vendita diretta vino (% produzione)</v>
      </c>
      <c r="C69" s="67" t="str">
        <f>VLOOKUP($A69,TabAttività!$A$2:$F$62,6,FALSE)</f>
        <v>Vendita diretta vino</v>
      </c>
      <c r="D69" s="204">
        <f>IF('Lavoro-Trasformazione'!AW10&gt;Controlli!C45,('Lavoro-Trasformazione'!AW10*'Lavoro-Trasformazione'!BE10/100),0)</f>
        <v>0</v>
      </c>
      <c r="E69" s="205">
        <f>VLOOKUP($C69,TabLavoro!$B$2:$E$41,2,FALSE)</f>
        <v>14</v>
      </c>
      <c r="F69" s="205">
        <f>D69*VLOOKUP(A69,TabAttività!$A$2:$G$62,7,FALSE)</f>
        <v>0</v>
      </c>
      <c r="G69" s="204">
        <f>VLOOKUP($A69,TabAttività!$A$2:$D$62,4,FALSE)</f>
        <v>51.36967476472935</v>
      </c>
      <c r="H69" s="204">
        <f>VLOOKUP($A69,TabAttività!$A$2:$E$62,5,FALSE)</f>
        <v>2.068616034087555</v>
      </c>
      <c r="I69" s="204">
        <f t="shared" si="7"/>
        <v>0</v>
      </c>
      <c r="J69" s="204">
        <f t="shared" si="8"/>
        <v>0</v>
      </c>
      <c r="K69" s="205">
        <f t="shared" si="9"/>
        <v>0</v>
      </c>
      <c r="L69" s="296">
        <f>VLOOKUP($C69,TabLavoro!$B$2:$E$41,3,FALSE)</f>
        <v>0.7</v>
      </c>
      <c r="M69" s="207">
        <f>VLOOKUP($C69,TabLavoro!$B$2:$E$41,4,FALSE)</f>
        <v>4</v>
      </c>
      <c r="N69" s="206">
        <f t="shared" si="10"/>
        <v>0</v>
      </c>
      <c r="O69" s="206">
        <f t="shared" si="11"/>
      </c>
      <c r="P69" s="205">
        <f>IF(AND(N69&gt;0,L69&gt;0),(N69*O69)*(20/100),0)</f>
        <v>0</v>
      </c>
      <c r="Q69" s="217"/>
      <c r="R69" s="217"/>
    </row>
    <row r="70" spans="1:18" ht="12.75">
      <c r="A70" s="81" t="s">
        <v>299</v>
      </c>
      <c r="B70" s="71" t="str">
        <f>VLOOKUP($A70,TabAttività!$A$2:$C$62,3,FALSE)</f>
        <v>VD2. Vendita diretta formaggi bovini (migl. €)</v>
      </c>
      <c r="C70" s="67" t="str">
        <f>VLOOKUP($A70,TabAttività!$A$2:$F$64,6,FALSE)</f>
        <v>Vendita diretta formaggi bovini</v>
      </c>
      <c r="D70" s="204">
        <f>IF('Lavoro-Trasformazione'!AW12&gt;Controlli!C47,('Lavoro-Trasformazione'!AW12*'Lavoro-Trasformazione'!BE12/100),0)</f>
        <v>0</v>
      </c>
      <c r="E70" s="205">
        <f>VLOOKUP($C70,TabLavoro!$B$2:$E$41,2,FALSE)</f>
        <v>400</v>
      </c>
      <c r="F70" s="205">
        <f>D70*VLOOKUP(A70,TabAttività!$A$2:$G$64,7,FALSE)</f>
        <v>0</v>
      </c>
      <c r="G70" s="204">
        <f>VLOOKUP($A70,TabAttività!$A$2:$D$64,4,FALSE)</f>
        <v>25.00597169504904</v>
      </c>
      <c r="H70" s="204">
        <f>VLOOKUP($A70,TabAttività!$A$2:$E$64,5,FALSE)</f>
        <v>2.7008832053555087</v>
      </c>
      <c r="I70" s="204">
        <f t="shared" si="7"/>
        <v>0</v>
      </c>
      <c r="J70" s="204">
        <f t="shared" si="8"/>
        <v>0</v>
      </c>
      <c r="K70" s="205">
        <f t="shared" si="9"/>
        <v>0</v>
      </c>
      <c r="L70" s="296">
        <f>VLOOKUP($C70,TabLavoro!$B$2:$E$41,3,FALSE)</f>
        <v>0.3</v>
      </c>
      <c r="M70" s="207">
        <f>VLOOKUP($C70,TabLavoro!$B$2:$E$41,4,FALSE)</f>
        <v>1.5</v>
      </c>
      <c r="N70" s="206">
        <f t="shared" si="10"/>
        <v>0</v>
      </c>
      <c r="O70" s="206">
        <f t="shared" si="11"/>
      </c>
      <c r="P70" s="205">
        <f>IF(AND(N70&gt;0,L70&gt;0),(N70*O70)*(20/100),0)</f>
        <v>0</v>
      </c>
      <c r="Q70" s="217"/>
      <c r="R70" s="217"/>
    </row>
    <row r="71" spans="1:18" ht="12.75">
      <c r="A71" s="81" t="s">
        <v>300</v>
      </c>
      <c r="B71" s="71" t="str">
        <f>VLOOKUP($A71,TabAttività!$A$2:$C$64,3,FALSE)</f>
        <v>VD3. Vendita diretta formaggi ovicaprini (migl. €)</v>
      </c>
      <c r="C71" s="67" t="str">
        <f>VLOOKUP($A71,TabAttività!$A$2:$F$64,6,FALSE)</f>
        <v>Vendita diretta formaggi ovicaprini</v>
      </c>
      <c r="D71" s="204">
        <f>IF('Lavoro-Trasformazione'!AW14&gt;Controlli!C49,('Lavoro-Trasformazione'!AW14*'Lavoro-Trasformazione'!BE14/100),0)</f>
        <v>0</v>
      </c>
      <c r="E71" s="205">
        <f>VLOOKUP($C71,TabLavoro!$B$2:$E$41,2,FALSE)</f>
        <v>60</v>
      </c>
      <c r="F71" s="205">
        <f>D71*VLOOKUP(A71,TabAttività!$A$2:$G$64,7,FALSE)</f>
        <v>0</v>
      </c>
      <c r="G71" s="204">
        <f>VLOOKUP($A71,TabAttività!$A$2:$D$64,4,FALSE)</f>
        <v>46.46051893665787</v>
      </c>
      <c r="H71" s="204">
        <f>VLOOKUP($A71,TabAttività!$A$2:$E$64,5,FALSE)</f>
        <v>4.171217388987368</v>
      </c>
      <c r="I71" s="204">
        <f t="shared" si="7"/>
        <v>0</v>
      </c>
      <c r="J71" s="204">
        <f t="shared" si="8"/>
        <v>0</v>
      </c>
      <c r="K71" s="205">
        <f t="shared" si="9"/>
        <v>0</v>
      </c>
      <c r="L71" s="296">
        <f>VLOOKUP($C71,TabLavoro!$B$2:$E$41,3,FALSE)</f>
        <v>1.6</v>
      </c>
      <c r="M71" s="207">
        <f>VLOOKUP($C71,TabLavoro!$B$2:$E$41,4,FALSE)</f>
        <v>1.3</v>
      </c>
      <c r="N71" s="206">
        <f t="shared" si="10"/>
        <v>0</v>
      </c>
      <c r="O71" s="206">
        <f t="shared" si="11"/>
      </c>
      <c r="P71" s="205">
        <f>IF(AND(N71&gt;0,L71&gt;0),(N71*O71)*(20/100),0)</f>
        <v>0</v>
      </c>
      <c r="Q71" s="217"/>
      <c r="R71" s="217"/>
    </row>
    <row r="72" spans="1:19" ht="12.75">
      <c r="A72" s="81" t="s">
        <v>301</v>
      </c>
      <c r="B72" s="71" t="str">
        <f>VLOOKUP($A72,TabAttività!$A$2:$C$64,3,FALSE)</f>
        <v>VD4. Vendita diretta altri prodotti (migl. €)</v>
      </c>
      <c r="C72" s="67" t="str">
        <f>VLOOKUP($A72,TabAttività!$A$2:$F$64,6,FALSE)</f>
        <v>Vendita diretta altri</v>
      </c>
      <c r="D72" s="204">
        <f>('Lavoro-Trasformazione'!AW18*'Lavoro-Trasformazione'!BE18/100)</f>
        <v>0</v>
      </c>
      <c r="E72" s="205">
        <f>VLOOKUP($C72,TabLavoro!$B$2:$E$41,2,FALSE)</f>
        <v>3000</v>
      </c>
      <c r="F72" s="205">
        <f>D72*VLOOKUP(A72,TabAttività!$A$2:$G$64,7,FALSE)</f>
        <v>0</v>
      </c>
      <c r="G72" s="204">
        <f>VLOOKUP($A72,TabAttività!$A$2:$D$68,4,FALSE)</f>
        <v>0.48897266729500477</v>
      </c>
      <c r="H72" s="204">
        <f>VLOOKUP($A72,TabAttività!$A$2:$E$64,5,FALSE)</f>
        <v>0.1344674835061263</v>
      </c>
      <c r="I72" s="204">
        <f>IF(D72&gt;0,F72*H72*(E72/F72)^0.25,0)</f>
        <v>0</v>
      </c>
      <c r="J72" s="204">
        <f>F72*G72</f>
        <v>0</v>
      </c>
      <c r="K72" s="205">
        <f>J72-I72</f>
        <v>0</v>
      </c>
      <c r="L72" s="296">
        <f>VLOOKUP($C72,TabLavoro!$B$2:$E$41,3,FALSE)</f>
        <v>0.004</v>
      </c>
      <c r="M72" s="207">
        <f>VLOOKUP($C72,TabLavoro!$B$2:$E$41,4,FALSE)</f>
        <v>4</v>
      </c>
      <c r="N72" s="206">
        <f>F72</f>
        <v>0</v>
      </c>
      <c r="O72" s="289">
        <f t="shared" si="11"/>
      </c>
      <c r="P72" s="208">
        <f>IF(AND(N72&gt;0,L72&gt;0),(N72*O72)*(30/100),0)</f>
        <v>0</v>
      </c>
      <c r="Q72" s="217"/>
      <c r="R72" s="217"/>
      <c r="S72" s="305">
        <f>S68+(S68*'Lavoro-Trasformazione'!$BE$18/100*(1-TabAttività!$D$64)*(1-TabAttività!$E$64))</f>
        <v>0</v>
      </c>
    </row>
    <row r="73" spans="1:19" s="17" customFormat="1" ht="12.75">
      <c r="A73" s="83"/>
      <c r="B73" s="688" t="s">
        <v>373</v>
      </c>
      <c r="C73" s="688"/>
      <c r="D73" s="18"/>
      <c r="E73" s="18"/>
      <c r="F73" s="18"/>
      <c r="G73" s="18"/>
      <c r="H73" s="18"/>
      <c r="I73" s="18"/>
      <c r="J73" s="18"/>
      <c r="K73" s="61">
        <f>SUM(K65:K72)</f>
        <v>0</v>
      </c>
      <c r="L73" s="18"/>
      <c r="M73" s="18"/>
      <c r="N73" s="18"/>
      <c r="O73" s="18"/>
      <c r="P73" s="61">
        <f>SUM(P65:P72)</f>
        <v>0</v>
      </c>
      <c r="Q73" s="18"/>
      <c r="R73" s="18"/>
      <c r="S73" s="18"/>
    </row>
    <row r="76" spans="1:17" s="17" customFormat="1" ht="12.75">
      <c r="A76" s="686" t="s">
        <v>10</v>
      </c>
      <c r="B76" s="687"/>
      <c r="C76" s="687"/>
      <c r="D76" s="672" t="s">
        <v>157</v>
      </c>
      <c r="E76" s="673"/>
      <c r="F76" s="674"/>
      <c r="G76" s="671" t="s">
        <v>233</v>
      </c>
      <c r="H76" s="671"/>
      <c r="I76" s="671"/>
      <c r="J76" s="671"/>
      <c r="K76" s="676" t="s">
        <v>167</v>
      </c>
      <c r="L76" s="671" t="s">
        <v>169</v>
      </c>
      <c r="M76" s="671"/>
      <c r="N76" s="671"/>
      <c r="O76" s="671"/>
      <c r="P76" s="671"/>
      <c r="Q76" s="64"/>
    </row>
    <row r="77" spans="1:16" s="17" customFormat="1" ht="14.25">
      <c r="A77" s="70" t="s">
        <v>147</v>
      </c>
      <c r="B77" s="16" t="s">
        <v>148</v>
      </c>
      <c r="C77" s="16" t="s">
        <v>160</v>
      </c>
      <c r="D77" s="16" t="s">
        <v>158</v>
      </c>
      <c r="E77" s="16" t="s">
        <v>159</v>
      </c>
      <c r="F77" s="16" t="s">
        <v>174</v>
      </c>
      <c r="G77" s="16" t="s">
        <v>155</v>
      </c>
      <c r="H77" s="16" t="s">
        <v>156</v>
      </c>
      <c r="I77" s="16" t="s">
        <v>234</v>
      </c>
      <c r="J77" s="16" t="s">
        <v>235</v>
      </c>
      <c r="K77" s="676"/>
      <c r="L77" s="16" t="s">
        <v>170</v>
      </c>
      <c r="M77" s="16" t="s">
        <v>175</v>
      </c>
      <c r="N77" s="16" t="s">
        <v>172</v>
      </c>
      <c r="O77" s="16" t="s">
        <v>171</v>
      </c>
      <c r="P77" s="16" t="s">
        <v>173</v>
      </c>
    </row>
    <row r="78" spans="1:18" ht="12.75">
      <c r="A78" s="82" t="s">
        <v>388</v>
      </c>
      <c r="B78" s="71" t="s">
        <v>383</v>
      </c>
      <c r="C78" s="133" t="s">
        <v>383</v>
      </c>
      <c r="D78" s="165">
        <f>'Lavoro-Trasformazione'!AW20</f>
        <v>0</v>
      </c>
      <c r="E78" s="9">
        <f>VLOOKUP($C78,TabLavoro!$B$2:$E$46,2,FALSE)</f>
        <v>33000</v>
      </c>
      <c r="F78" s="9">
        <f>D78</f>
        <v>0</v>
      </c>
      <c r="G78" s="288">
        <f>VLOOKUP($A78,TabAttività!$A$2:$D$68,4,FALSE)</f>
        <v>0.55</v>
      </c>
      <c r="H78" s="288">
        <f>VLOOKUP($A78,TabAttività!$A$2:$E$68,5,FALSE)</f>
        <v>0.11</v>
      </c>
      <c r="I78" s="204">
        <f>IF(D78&gt;0,F78*H78*(E78/F78)^0.25,0)</f>
        <v>0</v>
      </c>
      <c r="J78" s="204">
        <f>F78*G78</f>
        <v>0</v>
      </c>
      <c r="K78" s="205">
        <f>J78-I78</f>
        <v>0</v>
      </c>
      <c r="L78" s="290">
        <f>VLOOKUP($C78,TabLavoro!$B$2:$E$46,3,FALSE)</f>
        <v>0.002</v>
      </c>
      <c r="M78" s="14">
        <f>VLOOKUP($C78,TabLavoro!$B$2:$E$46,4,FALSE)</f>
        <v>1.7</v>
      </c>
      <c r="N78" s="15">
        <f>F78</f>
        <v>0</v>
      </c>
      <c r="O78" s="222">
        <f>IF(N78&gt;0,L78*(E78/N78)^(1/M78),"")</f>
      </c>
      <c r="P78" s="9">
        <f>IF(AND(N78&gt;0,L78&gt;0),N78*O78,0)</f>
        <v>0</v>
      </c>
      <c r="R78" s="9"/>
    </row>
    <row r="79" spans="1:16" ht="12.75">
      <c r="A79" s="81" t="s">
        <v>389</v>
      </c>
      <c r="B79" s="71" t="s">
        <v>384</v>
      </c>
      <c r="C79" s="429" t="s">
        <v>451</v>
      </c>
      <c r="D79" s="165">
        <f>'Lavoro-Trasformazione'!AW22</f>
        <v>0</v>
      </c>
      <c r="E79" s="9">
        <f>VLOOKUP($C79,TabLavoro!$B$2:$E$46,2,FALSE)</f>
        <v>40000</v>
      </c>
      <c r="F79" s="9">
        <f>D79</f>
        <v>0</v>
      </c>
      <c r="G79" s="288">
        <f>VLOOKUP($A79,TabAttività!$A$2:$D$68,4,FALSE)</f>
        <v>0.7</v>
      </c>
      <c r="H79" s="288">
        <f>VLOOKUP($A79,TabAttività!$A$2:$E$68,5,FALSE)</f>
        <v>0.05</v>
      </c>
      <c r="I79" s="204">
        <f>IF(D79&gt;0,F79*H79*(E79/F79)^0.25,0)</f>
        <v>0</v>
      </c>
      <c r="J79" s="204">
        <f>F79*G79</f>
        <v>0</v>
      </c>
      <c r="K79" s="205">
        <f>J79-I79</f>
        <v>0</v>
      </c>
      <c r="L79" s="290">
        <f>VLOOKUP($C79,TabLavoro!$B$2:$E$46,3,FALSE)</f>
        <v>0.002</v>
      </c>
      <c r="M79" s="14">
        <f>VLOOKUP($C79,TabLavoro!$B$2:$E$46,4,FALSE)</f>
        <v>2</v>
      </c>
      <c r="N79" s="15">
        <f>F79</f>
        <v>0</v>
      </c>
      <c r="O79" s="15">
        <f>IF(N79&gt;0,L79*(E79/N79)^(1/M79),"")</f>
      </c>
      <c r="P79" s="9">
        <f>IF(AND(N79&gt;0,L79&gt;0),N79*O79,0)</f>
        <v>0</v>
      </c>
    </row>
    <row r="80" spans="1:16" ht="12.75">
      <c r="A80" s="81" t="s">
        <v>390</v>
      </c>
      <c r="B80" s="71" t="s">
        <v>391</v>
      </c>
      <c r="C80" s="429" t="s">
        <v>449</v>
      </c>
      <c r="D80" s="165">
        <f>'Lavoro-Trasformazione'!AW24</f>
        <v>0</v>
      </c>
      <c r="E80" s="9">
        <f>VLOOKUP($C80,TabLavoro!$B$2:$E$46,2,FALSE)</f>
        <v>20476</v>
      </c>
      <c r="F80" s="9">
        <f>D80</f>
        <v>0</v>
      </c>
      <c r="G80" s="288">
        <f>VLOOKUP($A80,TabAttività!$A$2:$D$68,4,FALSE)</f>
        <v>0.9</v>
      </c>
      <c r="H80" s="288">
        <f>VLOOKUP($A80,TabAttività!$A$2:$E$68,5,FALSE)</f>
        <v>0.5</v>
      </c>
      <c r="I80" s="204">
        <f>IF(D80&gt;0,F80*H80*(E80/F80)^0.25,0)</f>
        <v>0</v>
      </c>
      <c r="J80" s="204">
        <f>F80*G80</f>
        <v>0</v>
      </c>
      <c r="K80" s="205">
        <f>J80-I80</f>
        <v>0</v>
      </c>
      <c r="L80" s="290">
        <f>VLOOKUP($C80,TabLavoro!$B$2:$E$46,3,FALSE)</f>
        <v>0.0004</v>
      </c>
      <c r="M80" s="14">
        <f>VLOOKUP($C80,TabLavoro!$B$2:$E$46,4,FALSE)</f>
        <v>2.4</v>
      </c>
      <c r="N80" s="15">
        <f>F80</f>
        <v>0</v>
      </c>
      <c r="O80" s="15">
        <f>IF(N80&gt;0,L80*(E80/N80)^(1/M80),"")</f>
      </c>
      <c r="P80" s="9">
        <f>IF(AND(N80&gt;0,L80&gt;0),N80*O80,0)</f>
        <v>0</v>
      </c>
    </row>
    <row r="81" spans="1:18" ht="12.75">
      <c r="A81" s="82" t="s">
        <v>438</v>
      </c>
      <c r="B81" s="71" t="s">
        <v>437</v>
      </c>
      <c r="C81" s="429" t="s">
        <v>452</v>
      </c>
      <c r="D81" s="165">
        <f>'Lavoro-Trasformazione'!AW26</f>
        <v>0</v>
      </c>
      <c r="E81" s="9">
        <f>VLOOKUP($C81,TabLavoro!$B$2:$E$46,2,FALSE)</f>
        <v>16500</v>
      </c>
      <c r="F81" s="9">
        <f>D81</f>
        <v>0</v>
      </c>
      <c r="G81" s="288">
        <f>VLOOKUP($A81,TabAttività!$A$2:$D$73,4,FALSE)</f>
        <v>0.275</v>
      </c>
      <c r="H81" s="288">
        <f>VLOOKUP($A81,TabAttività!$A$2:$E$73,5,FALSE)</f>
        <v>0.055</v>
      </c>
      <c r="I81" s="204">
        <f>IF(D81&gt;0,F81*H81*(E81/F81)^0.25,0)</f>
        <v>0</v>
      </c>
      <c r="J81" s="204">
        <f>F81*G81</f>
        <v>0</v>
      </c>
      <c r="K81" s="205">
        <f>J81-I81</f>
        <v>0</v>
      </c>
      <c r="L81" s="290">
        <f>VLOOKUP($C81,TabLavoro!$B$2:$E$46,3,FALSE)</f>
        <v>0.0015</v>
      </c>
      <c r="M81" s="14">
        <f>VLOOKUP($C81,TabLavoro!$B$2:$E$46,4,FALSE)</f>
        <v>1.7</v>
      </c>
      <c r="N81" s="15">
        <f>F81</f>
        <v>0</v>
      </c>
      <c r="O81" s="222">
        <f>IF(N81&gt;0,L81*(E81/N81)^(1/M81),"")</f>
      </c>
      <c r="P81" s="9">
        <f>IF(AND(N81&gt;0,L81&gt;0),N81*O81,0)</f>
        <v>0</v>
      </c>
      <c r="R81" s="9"/>
    </row>
    <row r="82" spans="1:16" ht="12.75">
      <c r="A82" s="298"/>
      <c r="B82" s="689" t="s">
        <v>396</v>
      </c>
      <c r="C82" s="690"/>
      <c r="D82" s="299"/>
      <c r="E82" s="291"/>
      <c r="F82" s="291"/>
      <c r="G82" s="300"/>
      <c r="H82" s="300"/>
      <c r="I82" s="301"/>
      <c r="J82" s="301"/>
      <c r="K82" s="302">
        <f>SUM(K78:K81)</f>
        <v>0</v>
      </c>
      <c r="L82" s="294"/>
      <c r="M82" s="292"/>
      <c r="N82" s="293"/>
      <c r="O82" s="293"/>
      <c r="P82" s="302">
        <f>SUM(P78:P81)</f>
        <v>0</v>
      </c>
    </row>
    <row r="83" spans="1:16" ht="12.75">
      <c r="A83" s="81" t="s">
        <v>392</v>
      </c>
      <c r="B83" s="71" t="s">
        <v>385</v>
      </c>
      <c r="C83" s="71" t="s">
        <v>385</v>
      </c>
      <c r="D83" s="165">
        <f>'Lavoro-Trasformazione'!AW28</f>
        <v>0</v>
      </c>
      <c r="E83" s="9">
        <v>20000</v>
      </c>
      <c r="F83" s="9">
        <f>D83</f>
        <v>0</v>
      </c>
      <c r="G83" s="65">
        <f>VLOOKUP($A83,TabAttività!$A$2:$D$68,4,FALSE)</f>
        <v>0.85</v>
      </c>
      <c r="H83" s="288">
        <f>VLOOKUP($A83,TabAttività!$A$2:$E$68,5,FALSE)</f>
        <v>0.25</v>
      </c>
      <c r="I83" s="204">
        <f>IF(D83&gt;0,F83*H83*(E83/F83)^0.25,0)</f>
        <v>0</v>
      </c>
      <c r="J83" s="204">
        <f>F83*G83</f>
        <v>0</v>
      </c>
      <c r="K83" s="205">
        <f>J83-I83</f>
        <v>0</v>
      </c>
      <c r="L83" s="290">
        <f>VLOOKUP($C83,TabLavoro!$B$2:$E$46,3,FALSE)</f>
        <v>0.0042</v>
      </c>
      <c r="M83" s="292"/>
      <c r="N83" s="293"/>
      <c r="O83" s="294"/>
      <c r="P83" s="9">
        <f>D83*L83</f>
        <v>0</v>
      </c>
    </row>
    <row r="85" spans="1:17" s="17" customFormat="1" ht="12.75">
      <c r="A85" s="83"/>
      <c r="B85" s="688"/>
      <c r="C85" s="688"/>
      <c r="D85" s="18"/>
      <c r="E85" s="18"/>
      <c r="F85" s="18"/>
      <c r="G85" s="18"/>
      <c r="H85" s="18"/>
      <c r="I85" s="18"/>
      <c r="J85" s="18"/>
      <c r="K85" s="61">
        <f>SUM(K78:K84)</f>
        <v>0</v>
      </c>
      <c r="L85" s="18"/>
      <c r="M85" s="18"/>
      <c r="N85" s="18"/>
      <c r="O85" s="18"/>
      <c r="P85" s="61">
        <f>SUM(P78:P84)</f>
        <v>0</v>
      </c>
      <c r="Q85" s="173"/>
    </row>
  </sheetData>
  <sheetProtection sheet="1" objects="1" scenarios="1" selectLockedCells="1" selectUnlockedCells="1"/>
  <mergeCells count="28">
    <mergeCell ref="B61:C61"/>
    <mergeCell ref="L76:P76"/>
    <mergeCell ref="B85:C85"/>
    <mergeCell ref="A76:C76"/>
    <mergeCell ref="D76:F76"/>
    <mergeCell ref="G76:J76"/>
    <mergeCell ref="K76:K77"/>
    <mergeCell ref="B82:C82"/>
    <mergeCell ref="B73:C73"/>
    <mergeCell ref="D63:F63"/>
    <mergeCell ref="S63:S64"/>
    <mergeCell ref="Q37:R38"/>
    <mergeCell ref="Q63:R64"/>
    <mergeCell ref="B35:C35"/>
    <mergeCell ref="K2:K3"/>
    <mergeCell ref="K63:K64"/>
    <mergeCell ref="L63:P63"/>
    <mergeCell ref="A37:C37"/>
    <mergeCell ref="G37:J37"/>
    <mergeCell ref="A63:C63"/>
    <mergeCell ref="G63:J63"/>
    <mergeCell ref="D37:F37"/>
    <mergeCell ref="L37:P37"/>
    <mergeCell ref="K37:K38"/>
    <mergeCell ref="D2:F2"/>
    <mergeCell ref="Q2:R2"/>
    <mergeCell ref="G2:J2"/>
    <mergeCell ref="L2:P2"/>
  </mergeCells>
  <printOptions horizontalCentered="1"/>
  <pageMargins left="0.27" right="0.21" top="0.62" bottom="0.67" header="0.24" footer="0.17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J69"/>
  <sheetViews>
    <sheetView zoomScalePageLayoutView="0" workbookViewId="0" topLeftCell="A1">
      <pane xSplit="3" ySplit="1" topLeftCell="D2" activePane="bottomRight" state="frozen"/>
      <selection pane="topLeft" activeCell="B22" sqref="B22"/>
      <selection pane="topRight" activeCell="B22" sqref="B22"/>
      <selection pane="bottomLeft" activeCell="B22" sqref="B22"/>
      <selection pane="bottomRight" activeCell="B22" sqref="B22"/>
    </sheetView>
  </sheetViews>
  <sheetFormatPr defaultColWidth="9.140625" defaultRowHeight="12.75"/>
  <cols>
    <col min="1" max="1" width="4.8515625" style="404" customWidth="1"/>
    <col min="2" max="2" width="15.57421875" style="404" bestFit="1" customWidth="1"/>
    <col min="3" max="3" width="28.57421875" style="404" customWidth="1"/>
    <col min="4" max="4" width="24.28125" style="0" bestFit="1" customWidth="1"/>
    <col min="5" max="5" width="20.00390625" style="0" customWidth="1"/>
    <col min="6" max="6" width="30.57421875" style="0" customWidth="1"/>
    <col min="7" max="7" width="26.140625" style="0" bestFit="1" customWidth="1"/>
    <col min="8" max="8" width="13.8515625" style="0" bestFit="1" customWidth="1"/>
    <col min="9" max="9" width="16.8515625" style="0" bestFit="1" customWidth="1"/>
    <col min="10" max="10" width="23.8515625" style="0" bestFit="1" customWidth="1"/>
    <col min="11" max="11" width="20.00390625" style="0" bestFit="1" customWidth="1"/>
  </cols>
  <sheetData>
    <row r="1" spans="1:9" ht="12.75">
      <c r="A1" s="6" t="s">
        <v>11</v>
      </c>
      <c r="B1" s="6" t="s">
        <v>12</v>
      </c>
      <c r="C1" s="6" t="s">
        <v>13</v>
      </c>
      <c r="D1" s="6" t="s">
        <v>153</v>
      </c>
      <c r="E1" s="6" t="s">
        <v>154</v>
      </c>
      <c r="F1" s="1" t="s">
        <v>14</v>
      </c>
      <c r="G1" s="1" t="s">
        <v>15</v>
      </c>
      <c r="H1" s="1" t="s">
        <v>16</v>
      </c>
      <c r="I1" s="6" t="s">
        <v>152</v>
      </c>
    </row>
    <row r="2" spans="1:9" ht="12.75">
      <c r="A2" s="490" t="s">
        <v>17</v>
      </c>
      <c r="B2" s="490" t="s">
        <v>18</v>
      </c>
      <c r="C2" s="490" t="s">
        <v>19</v>
      </c>
      <c r="D2" s="484">
        <v>936.2166666666666</v>
      </c>
      <c r="E2" s="484">
        <v>134.27555555555554</v>
      </c>
      <c r="F2" s="2" t="s">
        <v>20</v>
      </c>
      <c r="G2" s="438">
        <v>1</v>
      </c>
      <c r="H2" s="439">
        <v>0</v>
      </c>
      <c r="I2" s="440">
        <v>46.48</v>
      </c>
    </row>
    <row r="3" spans="1:9" ht="12.75">
      <c r="A3" s="490" t="s">
        <v>21</v>
      </c>
      <c r="B3" s="490" t="s">
        <v>18</v>
      </c>
      <c r="C3" s="490" t="s">
        <v>22</v>
      </c>
      <c r="D3" s="484">
        <v>6973.318872017353</v>
      </c>
      <c r="E3" s="484">
        <v>1629.2091879985685</v>
      </c>
      <c r="F3" s="2" t="s">
        <v>23</v>
      </c>
      <c r="G3" s="438">
        <v>1</v>
      </c>
      <c r="H3" s="439">
        <v>0</v>
      </c>
      <c r="I3" s="440">
        <v>154.94</v>
      </c>
    </row>
    <row r="4" spans="1:9" ht="12.75">
      <c r="A4" s="490" t="s">
        <v>24</v>
      </c>
      <c r="B4" s="490" t="s">
        <v>18</v>
      </c>
      <c r="C4" s="490" t="s">
        <v>25</v>
      </c>
      <c r="D4" s="484">
        <v>888.4516774791472</v>
      </c>
      <c r="E4" s="484">
        <v>204.29152919369784</v>
      </c>
      <c r="F4" s="2" t="s">
        <v>26</v>
      </c>
      <c r="G4" s="438">
        <v>1</v>
      </c>
      <c r="H4" s="439">
        <v>0</v>
      </c>
      <c r="I4" s="440">
        <v>38.73</v>
      </c>
    </row>
    <row r="5" spans="1:9" ht="12.75">
      <c r="A5" s="490" t="s">
        <v>27</v>
      </c>
      <c r="B5" s="490" t="s">
        <v>18</v>
      </c>
      <c r="C5" s="490" t="s">
        <v>28</v>
      </c>
      <c r="D5" s="484">
        <v>16241.71511627907</v>
      </c>
      <c r="E5" s="484">
        <v>2859.7742802270714</v>
      </c>
      <c r="F5" s="2" t="s">
        <v>29</v>
      </c>
      <c r="G5" s="438">
        <v>1</v>
      </c>
      <c r="H5" s="439">
        <v>0</v>
      </c>
      <c r="I5" s="440">
        <v>361.52</v>
      </c>
    </row>
    <row r="6" spans="1:9" ht="12.75">
      <c r="A6" s="490" t="s">
        <v>30</v>
      </c>
      <c r="B6" s="490" t="s">
        <v>18</v>
      </c>
      <c r="C6" s="490" t="s">
        <v>31</v>
      </c>
      <c r="D6" s="484"/>
      <c r="E6" s="484"/>
      <c r="F6" s="2" t="s">
        <v>29</v>
      </c>
      <c r="G6" s="438">
        <v>0.9</v>
      </c>
      <c r="H6" s="439">
        <v>0</v>
      </c>
      <c r="I6" s="440">
        <v>361.52</v>
      </c>
    </row>
    <row r="7" spans="1:9" ht="12.75">
      <c r="A7" s="490" t="s">
        <v>32</v>
      </c>
      <c r="B7" s="490" t="s">
        <v>18</v>
      </c>
      <c r="C7" s="490" t="s">
        <v>33</v>
      </c>
      <c r="D7" s="484">
        <v>10375.683196060878</v>
      </c>
      <c r="E7" s="484">
        <v>2386.4005192479854</v>
      </c>
      <c r="F7" s="2" t="s">
        <v>34</v>
      </c>
      <c r="G7" s="438">
        <v>1</v>
      </c>
      <c r="H7" s="439">
        <v>0</v>
      </c>
      <c r="I7" s="440">
        <v>309.87</v>
      </c>
    </row>
    <row r="8" spans="1:9" ht="12.75">
      <c r="A8" s="490" t="s">
        <v>35</v>
      </c>
      <c r="B8" s="490" t="s">
        <v>18</v>
      </c>
      <c r="C8" s="490" t="s">
        <v>36</v>
      </c>
      <c r="D8" s="484">
        <v>21027.389865711728</v>
      </c>
      <c r="E8" s="484">
        <v>4836.442882721576</v>
      </c>
      <c r="F8" s="2" t="s">
        <v>37</v>
      </c>
      <c r="G8" s="438">
        <v>1</v>
      </c>
      <c r="H8" s="439">
        <v>0</v>
      </c>
      <c r="I8" s="440">
        <v>1032.91</v>
      </c>
    </row>
    <row r="9" spans="1:9" ht="12.75">
      <c r="A9" s="490" t="s">
        <v>38</v>
      </c>
      <c r="B9" s="490" t="s">
        <v>18</v>
      </c>
      <c r="C9" s="490" t="s">
        <v>39</v>
      </c>
      <c r="D9" s="484">
        <v>347108.2142857143</v>
      </c>
      <c r="E9" s="484">
        <v>70201.76771514179</v>
      </c>
      <c r="F9" s="2" t="s">
        <v>40</v>
      </c>
      <c r="G9" s="438">
        <v>1</v>
      </c>
      <c r="H9" s="439">
        <v>0</v>
      </c>
      <c r="I9" s="440">
        <v>1549.37</v>
      </c>
    </row>
    <row r="10" spans="1:9" ht="12.75">
      <c r="A10" s="490" t="s">
        <v>41</v>
      </c>
      <c r="B10" s="490" t="s">
        <v>18</v>
      </c>
      <c r="C10" s="490" t="s">
        <v>42</v>
      </c>
      <c r="D10" s="484">
        <v>168450.21950760967</v>
      </c>
      <c r="E10" s="484">
        <v>67379.95289167413</v>
      </c>
      <c r="F10" s="2" t="s">
        <v>43</v>
      </c>
      <c r="G10" s="438">
        <v>1</v>
      </c>
      <c r="H10" s="439">
        <v>0</v>
      </c>
      <c r="I10" s="440">
        <v>3098.74</v>
      </c>
    </row>
    <row r="11" spans="1:9" ht="12.75">
      <c r="A11" s="490" t="s">
        <v>44</v>
      </c>
      <c r="B11" s="490" t="s">
        <v>18</v>
      </c>
      <c r="C11" s="490" t="s">
        <v>45</v>
      </c>
      <c r="D11" s="484">
        <v>1163.3634651600767</v>
      </c>
      <c r="E11" s="484">
        <v>210.72929385266193</v>
      </c>
      <c r="F11" s="2" t="s">
        <v>46</v>
      </c>
      <c r="G11" s="438">
        <v>1</v>
      </c>
      <c r="H11" s="439">
        <v>0</v>
      </c>
      <c r="I11" s="440">
        <v>77.47</v>
      </c>
    </row>
    <row r="12" spans="1:9" ht="12.75">
      <c r="A12" s="490" t="s">
        <v>47</v>
      </c>
      <c r="B12" s="490" t="s">
        <v>18</v>
      </c>
      <c r="C12" s="490" t="s">
        <v>48</v>
      </c>
      <c r="D12" s="484">
        <v>330.7650745623514</v>
      </c>
      <c r="E12" s="484">
        <v>72.61799205967206</v>
      </c>
      <c r="F12" s="2" t="s">
        <v>46</v>
      </c>
      <c r="G12" s="438">
        <v>0.5</v>
      </c>
      <c r="H12" s="439">
        <v>0</v>
      </c>
      <c r="I12" s="440">
        <v>36.15</v>
      </c>
    </row>
    <row r="13" spans="1:9" ht="12.75">
      <c r="A13" s="490" t="s">
        <v>49</v>
      </c>
      <c r="B13" s="490" t="s">
        <v>18</v>
      </c>
      <c r="C13" s="490" t="s">
        <v>50</v>
      </c>
      <c r="D13" s="484">
        <v>109.62868797555379</v>
      </c>
      <c r="E13" s="484">
        <v>18.82426104850459</v>
      </c>
      <c r="F13" s="2" t="s">
        <v>51</v>
      </c>
      <c r="G13" s="438">
        <v>1</v>
      </c>
      <c r="H13" s="439">
        <v>0</v>
      </c>
      <c r="I13" s="440">
        <v>15.49</v>
      </c>
    </row>
    <row r="14" spans="1:9" ht="12.75">
      <c r="A14" s="490" t="s">
        <v>476</v>
      </c>
      <c r="B14" s="490" t="s">
        <v>18</v>
      </c>
      <c r="C14" s="71" t="s">
        <v>478</v>
      </c>
      <c r="D14" s="484">
        <v>109.62868797555379</v>
      </c>
      <c r="E14" s="484">
        <v>18.82426104850459</v>
      </c>
      <c r="F14" s="2" t="s">
        <v>51</v>
      </c>
      <c r="G14" s="438">
        <v>1</v>
      </c>
      <c r="H14" s="439">
        <v>0</v>
      </c>
      <c r="I14" s="440">
        <v>15.49</v>
      </c>
    </row>
    <row r="15" spans="1:9" ht="12.75">
      <c r="A15" s="490" t="s">
        <v>477</v>
      </c>
      <c r="B15" s="490" t="s">
        <v>18</v>
      </c>
      <c r="C15" s="71" t="s">
        <v>479</v>
      </c>
      <c r="D15" s="484">
        <v>109.62868797555379</v>
      </c>
      <c r="E15" s="484">
        <v>18.82426104850459</v>
      </c>
      <c r="F15" s="2" t="s">
        <v>51</v>
      </c>
      <c r="G15" s="438">
        <v>1</v>
      </c>
      <c r="H15" s="439">
        <v>0</v>
      </c>
      <c r="I15" s="440">
        <v>15.49</v>
      </c>
    </row>
    <row r="16" spans="1:9" ht="12.75">
      <c r="A16" s="490" t="s">
        <v>52</v>
      </c>
      <c r="B16" s="490" t="s">
        <v>18</v>
      </c>
      <c r="C16" s="494" t="s">
        <v>53</v>
      </c>
      <c r="D16" s="484">
        <v>46.97064353567486</v>
      </c>
      <c r="E16" s="484">
        <v>6.02629071595875</v>
      </c>
      <c r="F16" s="2" t="s">
        <v>51</v>
      </c>
      <c r="G16" s="438">
        <v>0.5</v>
      </c>
      <c r="H16" s="439">
        <v>0</v>
      </c>
      <c r="I16" s="440">
        <v>6.2</v>
      </c>
    </row>
    <row r="17" spans="1:9" ht="12.75">
      <c r="A17" s="496" t="s">
        <v>471</v>
      </c>
      <c r="B17" s="490" t="s">
        <v>18</v>
      </c>
      <c r="C17" s="76" t="s">
        <v>472</v>
      </c>
      <c r="D17" s="484">
        <v>46.97064353567486</v>
      </c>
      <c r="E17" s="484">
        <v>6.02629071595875</v>
      </c>
      <c r="F17" s="2" t="s">
        <v>51</v>
      </c>
      <c r="G17" s="438">
        <v>0.5</v>
      </c>
      <c r="H17" s="439">
        <v>0</v>
      </c>
      <c r="I17" s="440">
        <v>6.2</v>
      </c>
    </row>
    <row r="18" spans="1:9" ht="12.75">
      <c r="A18" s="496" t="s">
        <v>473</v>
      </c>
      <c r="B18" s="490" t="s">
        <v>18</v>
      </c>
      <c r="C18" s="76" t="s">
        <v>474</v>
      </c>
      <c r="D18" s="484">
        <v>46.97064353567486</v>
      </c>
      <c r="E18" s="484">
        <v>6.02629071595875</v>
      </c>
      <c r="F18" s="2" t="s">
        <v>51</v>
      </c>
      <c r="G18" s="438">
        <v>0.5</v>
      </c>
      <c r="H18" s="439">
        <v>0</v>
      </c>
      <c r="I18" s="440">
        <v>6.2</v>
      </c>
    </row>
    <row r="19" spans="1:9" ht="12.75">
      <c r="A19" s="501" t="s">
        <v>480</v>
      </c>
      <c r="B19" s="490" t="s">
        <v>18</v>
      </c>
      <c r="C19" s="116" t="s">
        <v>481</v>
      </c>
      <c r="D19" s="484">
        <v>46.97064353567486</v>
      </c>
      <c r="E19" s="484">
        <v>6.02629071595875</v>
      </c>
      <c r="F19" s="2" t="s">
        <v>51</v>
      </c>
      <c r="G19" s="438">
        <v>0.5</v>
      </c>
      <c r="H19" s="439">
        <v>0</v>
      </c>
      <c r="I19" s="440">
        <v>6.2</v>
      </c>
    </row>
    <row r="20" spans="1:9" ht="12.75">
      <c r="A20" s="490" t="s">
        <v>54</v>
      </c>
      <c r="B20" s="490" t="s">
        <v>18</v>
      </c>
      <c r="C20" s="495" t="s">
        <v>55</v>
      </c>
      <c r="D20" s="484">
        <v>2533.0670097518237</v>
      </c>
      <c r="E20" s="484">
        <v>645.4740265088242</v>
      </c>
      <c r="F20" s="2" t="s">
        <v>56</v>
      </c>
      <c r="G20" s="438">
        <v>1</v>
      </c>
      <c r="H20" s="439">
        <v>0</v>
      </c>
      <c r="I20" s="440">
        <v>118.79</v>
      </c>
    </row>
    <row r="21" spans="1:9" ht="12.75">
      <c r="A21" s="490" t="s">
        <v>57</v>
      </c>
      <c r="B21" s="490" t="s">
        <v>18</v>
      </c>
      <c r="C21" s="490" t="s">
        <v>58</v>
      </c>
      <c r="D21" s="484">
        <v>8011.881188118811</v>
      </c>
      <c r="E21" s="484">
        <v>2384.452957133473</v>
      </c>
      <c r="F21" s="2" t="s">
        <v>59</v>
      </c>
      <c r="G21" s="438">
        <v>1</v>
      </c>
      <c r="H21" s="439">
        <v>0</v>
      </c>
      <c r="I21" s="440">
        <v>387.34</v>
      </c>
    </row>
    <row r="22" spans="1:9" s="95" customFormat="1" ht="12.75">
      <c r="A22" s="490" t="s">
        <v>60</v>
      </c>
      <c r="B22" s="490" t="s">
        <v>18</v>
      </c>
      <c r="C22" s="490" t="s">
        <v>466</v>
      </c>
      <c r="D22" s="484">
        <v>2273.125</v>
      </c>
      <c r="E22" s="484">
        <v>306.62875863864537</v>
      </c>
      <c r="F22" s="467" t="s">
        <v>61</v>
      </c>
      <c r="G22" s="468">
        <v>1</v>
      </c>
      <c r="H22" s="469">
        <v>0</v>
      </c>
      <c r="I22" s="470">
        <v>61.97</v>
      </c>
    </row>
    <row r="23" spans="1:9" ht="12.75">
      <c r="A23" s="490" t="s">
        <v>62</v>
      </c>
      <c r="B23" s="490" t="s">
        <v>18</v>
      </c>
      <c r="C23" s="490" t="s">
        <v>63</v>
      </c>
      <c r="D23" s="484">
        <v>15438.394860335195</v>
      </c>
      <c r="E23" s="484">
        <v>3087.947932960894</v>
      </c>
      <c r="F23" s="2" t="s">
        <v>64</v>
      </c>
      <c r="G23" s="438">
        <v>1</v>
      </c>
      <c r="H23" s="439">
        <v>0</v>
      </c>
      <c r="I23" s="440">
        <v>361.52</v>
      </c>
    </row>
    <row r="24" spans="1:9" ht="12.75">
      <c r="A24" s="490" t="s">
        <v>65</v>
      </c>
      <c r="B24" s="490" t="s">
        <v>18</v>
      </c>
      <c r="C24" s="490" t="s">
        <v>66</v>
      </c>
      <c r="D24" s="484">
        <v>11181.508982035928</v>
      </c>
      <c r="E24" s="484">
        <v>2610.6384369702723</v>
      </c>
      <c r="F24" s="2" t="s">
        <v>67</v>
      </c>
      <c r="G24" s="438">
        <v>1</v>
      </c>
      <c r="H24" s="439">
        <v>0</v>
      </c>
      <c r="I24" s="440">
        <v>361.52</v>
      </c>
    </row>
    <row r="25" spans="1:9" ht="12.75">
      <c r="A25" s="490" t="s">
        <v>68</v>
      </c>
      <c r="B25" s="490" t="s">
        <v>18</v>
      </c>
      <c r="C25" s="490" t="s">
        <v>69</v>
      </c>
      <c r="D25" s="484">
        <v>7562.470763342547</v>
      </c>
      <c r="E25" s="484">
        <v>1522.1780059507666</v>
      </c>
      <c r="F25" s="2" t="s">
        <v>67</v>
      </c>
      <c r="G25" s="438">
        <v>0.95</v>
      </c>
      <c r="H25" s="439">
        <v>0</v>
      </c>
      <c r="I25" s="440">
        <v>206.58</v>
      </c>
    </row>
    <row r="26" spans="1:9" ht="12.75">
      <c r="A26" s="490" t="s">
        <v>70</v>
      </c>
      <c r="B26" s="490" t="s">
        <v>18</v>
      </c>
      <c r="C26" s="490" t="s">
        <v>71</v>
      </c>
      <c r="D26" s="484">
        <v>787.9061074458058</v>
      </c>
      <c r="E26" s="484">
        <v>181.188821866164</v>
      </c>
      <c r="F26" s="2" t="s">
        <v>72</v>
      </c>
      <c r="G26" s="438">
        <v>1</v>
      </c>
      <c r="H26" s="439">
        <v>0</v>
      </c>
      <c r="I26" s="440">
        <v>36.15</v>
      </c>
    </row>
    <row r="27" spans="1:9" ht="12.75">
      <c r="A27" s="490" t="s">
        <v>73</v>
      </c>
      <c r="B27" s="490" t="s">
        <v>18</v>
      </c>
      <c r="C27" s="490" t="s">
        <v>74</v>
      </c>
      <c r="D27" s="484">
        <v>109.22426955702167</v>
      </c>
      <c r="E27" s="484">
        <v>25.255438265786996</v>
      </c>
      <c r="F27" s="2" t="s">
        <v>75</v>
      </c>
      <c r="G27" s="438">
        <v>1</v>
      </c>
      <c r="H27" s="439">
        <v>0</v>
      </c>
      <c r="I27" s="440">
        <v>2.58</v>
      </c>
    </row>
    <row r="28" spans="1:9" ht="12.75">
      <c r="A28" s="490" t="s">
        <v>76</v>
      </c>
      <c r="B28" s="490" t="s">
        <v>18</v>
      </c>
      <c r="C28" s="490" t="s">
        <v>77</v>
      </c>
      <c r="D28" s="484"/>
      <c r="E28" s="484"/>
      <c r="F28" s="2" t="s">
        <v>78</v>
      </c>
      <c r="G28" s="438">
        <v>0</v>
      </c>
      <c r="H28" s="439">
        <v>0</v>
      </c>
      <c r="I28" s="440">
        <v>0</v>
      </c>
    </row>
    <row r="29" spans="1:9" ht="12.75">
      <c r="A29" s="490" t="s">
        <v>79</v>
      </c>
      <c r="B29" s="490" t="s">
        <v>18</v>
      </c>
      <c r="C29" s="490" t="s">
        <v>80</v>
      </c>
      <c r="D29" s="484"/>
      <c r="E29" s="484"/>
      <c r="F29" s="2" t="s">
        <v>81</v>
      </c>
      <c r="G29" s="438">
        <v>0</v>
      </c>
      <c r="H29" s="439">
        <v>0</v>
      </c>
      <c r="I29" s="440">
        <v>0</v>
      </c>
    </row>
    <row r="30" spans="1:9" ht="12.75">
      <c r="A30" s="490" t="s">
        <v>82</v>
      </c>
      <c r="B30" s="490" t="s">
        <v>18</v>
      </c>
      <c r="C30" s="490" t="s">
        <v>83</v>
      </c>
      <c r="D30" s="484">
        <v>73.08579198370253</v>
      </c>
      <c r="E30" s="484">
        <v>12.549507365669726</v>
      </c>
      <c r="F30" s="2" t="s">
        <v>84</v>
      </c>
      <c r="G30" s="438">
        <v>1</v>
      </c>
      <c r="H30" s="439">
        <v>0</v>
      </c>
      <c r="I30" s="440">
        <v>7.23</v>
      </c>
    </row>
    <row r="31" spans="1:9" ht="12.75">
      <c r="A31" s="490" t="s">
        <v>85</v>
      </c>
      <c r="B31" s="490" t="s">
        <v>18</v>
      </c>
      <c r="C31" s="490" t="s">
        <v>86</v>
      </c>
      <c r="D31" s="484">
        <v>42.49724891322963</v>
      </c>
      <c r="E31" s="484">
        <v>5.452358266819821</v>
      </c>
      <c r="F31" s="2" t="s">
        <v>84</v>
      </c>
      <c r="G31" s="438">
        <v>0.25</v>
      </c>
      <c r="H31" s="439">
        <v>0</v>
      </c>
      <c r="I31" s="440">
        <v>3.62</v>
      </c>
    </row>
    <row r="32" spans="1:9" s="127" customFormat="1" ht="12.75">
      <c r="A32" s="491" t="s">
        <v>460</v>
      </c>
      <c r="B32" s="490" t="s">
        <v>18</v>
      </c>
      <c r="C32" s="490" t="s">
        <v>467</v>
      </c>
      <c r="D32" s="484">
        <v>2564.4444444444443</v>
      </c>
      <c r="E32" s="484">
        <v>345.9257263009164</v>
      </c>
      <c r="F32" s="457" t="s">
        <v>462</v>
      </c>
      <c r="G32" s="458">
        <v>1</v>
      </c>
      <c r="H32" s="459">
        <v>0</v>
      </c>
      <c r="I32" s="460">
        <f>I22/2</f>
        <v>30.985</v>
      </c>
    </row>
    <row r="33" spans="1:10" s="127" customFormat="1" ht="12.75">
      <c r="A33" s="491" t="s">
        <v>150</v>
      </c>
      <c r="B33" s="490" t="s">
        <v>18</v>
      </c>
      <c r="C33" s="490" t="s">
        <v>468</v>
      </c>
      <c r="D33" s="484">
        <v>2273.125</v>
      </c>
      <c r="E33" s="484">
        <v>306.62875863864537</v>
      </c>
      <c r="F33" s="467" t="s">
        <v>61</v>
      </c>
      <c r="G33" s="468">
        <v>1</v>
      </c>
      <c r="H33" s="469">
        <v>0</v>
      </c>
      <c r="I33" s="470">
        <v>61.97</v>
      </c>
      <c r="J33" s="95"/>
    </row>
    <row r="34" spans="1:9" s="127" customFormat="1" ht="12.75">
      <c r="A34" s="491" t="s">
        <v>149</v>
      </c>
      <c r="B34" s="490" t="s">
        <v>469</v>
      </c>
      <c r="C34" s="490" t="s">
        <v>461</v>
      </c>
      <c r="D34" s="484">
        <v>9393.42214221422</v>
      </c>
      <c r="E34" s="484">
        <v>1232.7992799279928</v>
      </c>
      <c r="F34" s="457" t="s">
        <v>463</v>
      </c>
      <c r="G34" s="477">
        <v>1</v>
      </c>
      <c r="H34" s="478">
        <v>0</v>
      </c>
      <c r="I34" s="479">
        <v>61.97</v>
      </c>
    </row>
    <row r="35" spans="1:9" ht="12.75">
      <c r="A35" s="490" t="s">
        <v>87</v>
      </c>
      <c r="B35" s="490" t="s">
        <v>88</v>
      </c>
      <c r="C35" s="490" t="s">
        <v>89</v>
      </c>
      <c r="D35" s="484">
        <v>95.22460484316328</v>
      </c>
      <c r="E35" s="484">
        <v>17.081095827066928</v>
      </c>
      <c r="F35" s="2" t="s">
        <v>90</v>
      </c>
      <c r="G35" s="438">
        <v>0.4</v>
      </c>
      <c r="H35" s="439">
        <v>0</v>
      </c>
      <c r="I35" s="440">
        <v>0</v>
      </c>
    </row>
    <row r="36" spans="1:9" ht="12.75">
      <c r="A36" s="490" t="s">
        <v>91</v>
      </c>
      <c r="B36" s="490" t="s">
        <v>88</v>
      </c>
      <c r="C36" s="490" t="s">
        <v>92</v>
      </c>
      <c r="D36" s="484">
        <v>107.12966727473218</v>
      </c>
      <c r="E36" s="484">
        <v>19.292022895396492</v>
      </c>
      <c r="F36" s="2" t="s">
        <v>90</v>
      </c>
      <c r="G36" s="438">
        <v>0.4</v>
      </c>
      <c r="H36" s="439">
        <v>0</v>
      </c>
      <c r="I36" s="440">
        <v>0</v>
      </c>
    </row>
    <row r="37" spans="1:9" ht="12.75">
      <c r="A37" s="490" t="s">
        <v>93</v>
      </c>
      <c r="B37" s="490" t="s">
        <v>88</v>
      </c>
      <c r="C37" s="490" t="s">
        <v>94</v>
      </c>
      <c r="D37" s="484">
        <v>142.4236474206584</v>
      </c>
      <c r="E37" s="484">
        <v>25.618581514743976</v>
      </c>
      <c r="F37" s="2" t="s">
        <v>90</v>
      </c>
      <c r="G37" s="438">
        <v>0.6</v>
      </c>
      <c r="H37" s="439">
        <v>0.6</v>
      </c>
      <c r="I37" s="440">
        <v>0</v>
      </c>
    </row>
    <row r="38" spans="1:9" ht="12.75">
      <c r="A38" s="490" t="s">
        <v>95</v>
      </c>
      <c r="B38" s="490" t="s">
        <v>88</v>
      </c>
      <c r="C38" s="490" t="s">
        <v>96</v>
      </c>
      <c r="D38" s="484">
        <v>160.47992368536106</v>
      </c>
      <c r="E38" s="484">
        <v>28.78492305027413</v>
      </c>
      <c r="F38" s="2" t="s">
        <v>90</v>
      </c>
      <c r="G38" s="438">
        <v>0.6</v>
      </c>
      <c r="H38" s="439">
        <v>0.6</v>
      </c>
      <c r="I38" s="440">
        <v>0</v>
      </c>
    </row>
    <row r="39" spans="1:9" ht="12.75">
      <c r="A39" s="490" t="s">
        <v>97</v>
      </c>
      <c r="B39" s="490" t="s">
        <v>88</v>
      </c>
      <c r="C39" s="490" t="s">
        <v>98</v>
      </c>
      <c r="D39" s="484">
        <v>237.64825226382166</v>
      </c>
      <c r="E39" s="484">
        <v>42.699677341810904</v>
      </c>
      <c r="F39" s="2" t="s">
        <v>90</v>
      </c>
      <c r="G39" s="438">
        <v>1</v>
      </c>
      <c r="H39" s="439">
        <v>1</v>
      </c>
      <c r="I39" s="440">
        <v>0</v>
      </c>
    </row>
    <row r="40" spans="1:9" ht="12.75">
      <c r="A40" s="490" t="s">
        <v>99</v>
      </c>
      <c r="B40" s="490" t="s">
        <v>88</v>
      </c>
      <c r="C40" s="490" t="s">
        <v>100</v>
      </c>
      <c r="D40" s="484">
        <v>267.6095909600932</v>
      </c>
      <c r="E40" s="484">
        <v>48.07694594567063</v>
      </c>
      <c r="F40" s="2" t="s">
        <v>90</v>
      </c>
      <c r="G40" s="438">
        <v>1</v>
      </c>
      <c r="H40" s="439">
        <v>1</v>
      </c>
      <c r="I40" s="440">
        <v>0</v>
      </c>
    </row>
    <row r="41" spans="1:9" ht="12.75">
      <c r="A41" s="490" t="s">
        <v>101</v>
      </c>
      <c r="B41" s="490" t="s">
        <v>88</v>
      </c>
      <c r="C41" s="490" t="s">
        <v>102</v>
      </c>
      <c r="D41" s="484">
        <v>745.3697599428676</v>
      </c>
      <c r="E41" s="484">
        <v>133.7947721183593</v>
      </c>
      <c r="F41" s="2" t="s">
        <v>103</v>
      </c>
      <c r="G41" s="438">
        <v>1</v>
      </c>
      <c r="H41" s="439">
        <v>1</v>
      </c>
      <c r="I41" s="440">
        <v>0</v>
      </c>
    </row>
    <row r="42" spans="1:9" ht="12.75">
      <c r="A42" s="490" t="s">
        <v>104</v>
      </c>
      <c r="B42" s="490" t="s">
        <v>88</v>
      </c>
      <c r="C42" s="490" t="s">
        <v>105</v>
      </c>
      <c r="D42" s="484">
        <v>177.72557487127858</v>
      </c>
      <c r="E42" s="484">
        <v>31.945140134091464</v>
      </c>
      <c r="F42" s="2" t="s">
        <v>90</v>
      </c>
      <c r="G42" s="438">
        <v>1</v>
      </c>
      <c r="H42" s="439">
        <v>1</v>
      </c>
      <c r="I42" s="440">
        <v>0</v>
      </c>
    </row>
    <row r="43" spans="1:9" ht="12.75">
      <c r="A43" s="490" t="s">
        <v>106</v>
      </c>
      <c r="B43" s="490" t="s">
        <v>88</v>
      </c>
      <c r="C43" s="490" t="s">
        <v>285</v>
      </c>
      <c r="D43" s="484">
        <v>119.08843082636956</v>
      </c>
      <c r="E43" s="484">
        <v>27.386146703806876</v>
      </c>
      <c r="F43" s="2" t="s">
        <v>107</v>
      </c>
      <c r="G43" s="438">
        <v>1</v>
      </c>
      <c r="H43" s="439">
        <v>0.15</v>
      </c>
      <c r="I43" s="440">
        <v>0</v>
      </c>
    </row>
    <row r="44" spans="1:9" ht="12.75">
      <c r="A44" s="490" t="s">
        <v>108</v>
      </c>
      <c r="B44" s="490" t="s">
        <v>88</v>
      </c>
      <c r="C44" s="490" t="s">
        <v>109</v>
      </c>
      <c r="D44" s="484">
        <v>53.96570151574038</v>
      </c>
      <c r="E44" s="484">
        <v>8.006922396878828</v>
      </c>
      <c r="F44" s="2" t="s">
        <v>110</v>
      </c>
      <c r="G44" s="438">
        <v>1</v>
      </c>
      <c r="H44" s="439">
        <v>0.15</v>
      </c>
      <c r="I44" s="440">
        <v>0</v>
      </c>
    </row>
    <row r="45" spans="1:9" ht="12.75">
      <c r="A45" s="490" t="s">
        <v>111</v>
      </c>
      <c r="B45" s="490" t="s">
        <v>88</v>
      </c>
      <c r="C45" s="490" t="s">
        <v>286</v>
      </c>
      <c r="D45" s="484">
        <v>177.39905469277517</v>
      </c>
      <c r="E45" s="484">
        <v>25.01712040378667</v>
      </c>
      <c r="F45" s="2" t="s">
        <v>107</v>
      </c>
      <c r="G45" s="438">
        <v>1</v>
      </c>
      <c r="H45" s="439">
        <v>0.15</v>
      </c>
      <c r="I45" s="440">
        <v>0</v>
      </c>
    </row>
    <row r="46" spans="1:9" ht="12.75">
      <c r="A46" s="490" t="s">
        <v>112</v>
      </c>
      <c r="B46" s="490" t="s">
        <v>88</v>
      </c>
      <c r="C46" s="490" t="s">
        <v>113</v>
      </c>
      <c r="D46" s="484">
        <v>96.97290543206628</v>
      </c>
      <c r="E46" s="484">
        <v>16.15572568244566</v>
      </c>
      <c r="F46" s="2" t="s">
        <v>110</v>
      </c>
      <c r="G46" s="438">
        <v>1</v>
      </c>
      <c r="H46" s="439">
        <v>0.15</v>
      </c>
      <c r="I46" s="440">
        <v>0</v>
      </c>
    </row>
    <row r="47" spans="1:9" ht="12.75">
      <c r="A47" s="490" t="s">
        <v>114</v>
      </c>
      <c r="B47" s="490" t="s">
        <v>88</v>
      </c>
      <c r="C47" s="490" t="s">
        <v>115</v>
      </c>
      <c r="D47" s="484">
        <v>102.84590398890802</v>
      </c>
      <c r="E47" s="484">
        <v>21.763293035226678</v>
      </c>
      <c r="F47" s="2" t="s">
        <v>116</v>
      </c>
      <c r="G47" s="438">
        <v>1</v>
      </c>
      <c r="H47" s="439">
        <v>1</v>
      </c>
      <c r="I47" s="440">
        <v>0</v>
      </c>
    </row>
    <row r="48" spans="1:9" ht="12.75">
      <c r="A48" s="490" t="s">
        <v>117</v>
      </c>
      <c r="B48" s="490" t="s">
        <v>88</v>
      </c>
      <c r="C48" s="490" t="s">
        <v>118</v>
      </c>
      <c r="D48" s="484">
        <v>37.441509088286544</v>
      </c>
      <c r="E48" s="484">
        <v>5.498078405670865</v>
      </c>
      <c r="F48" s="2" t="s">
        <v>119</v>
      </c>
      <c r="G48" s="438">
        <v>0.25</v>
      </c>
      <c r="H48" s="439">
        <v>0.15</v>
      </c>
      <c r="I48" s="440">
        <v>0</v>
      </c>
    </row>
    <row r="49" spans="1:9" ht="12.75">
      <c r="A49" s="490" t="s">
        <v>120</v>
      </c>
      <c r="B49" s="490" t="s">
        <v>88</v>
      </c>
      <c r="C49" s="490" t="s">
        <v>121</v>
      </c>
      <c r="D49" s="484">
        <v>98.53078913959534</v>
      </c>
      <c r="E49" s="484">
        <v>14.37770019412962</v>
      </c>
      <c r="F49" s="2" t="s">
        <v>119</v>
      </c>
      <c r="G49" s="438">
        <v>0.6</v>
      </c>
      <c r="H49" s="439">
        <v>0.15</v>
      </c>
      <c r="I49" s="440">
        <v>0</v>
      </c>
    </row>
    <row r="50" spans="1:9" ht="12.75">
      <c r="A50" s="490" t="s">
        <v>122</v>
      </c>
      <c r="B50" s="490" t="s">
        <v>88</v>
      </c>
      <c r="C50" s="490" t="s">
        <v>123</v>
      </c>
      <c r="D50" s="484">
        <v>163.55977447841045</v>
      </c>
      <c r="E50" s="484">
        <v>23.89187310163453</v>
      </c>
      <c r="F50" s="2" t="s">
        <v>119</v>
      </c>
      <c r="G50" s="438">
        <v>1</v>
      </c>
      <c r="H50" s="439">
        <v>0.15</v>
      </c>
      <c r="I50" s="440">
        <v>0</v>
      </c>
    </row>
    <row r="51" spans="1:9" ht="12.75">
      <c r="A51" s="490" t="s">
        <v>124</v>
      </c>
      <c r="B51" s="490" t="s">
        <v>88</v>
      </c>
      <c r="C51" s="490" t="s">
        <v>125</v>
      </c>
      <c r="D51" s="484">
        <v>47.81333333333333</v>
      </c>
      <c r="E51" s="484">
        <v>6.852657337216658</v>
      </c>
      <c r="F51" s="2" t="s">
        <v>126</v>
      </c>
      <c r="G51" s="438">
        <v>1</v>
      </c>
      <c r="H51" s="439">
        <v>0</v>
      </c>
      <c r="I51" s="440">
        <v>0</v>
      </c>
    </row>
    <row r="52" spans="1:9" ht="12.75">
      <c r="A52" s="490" t="s">
        <v>127</v>
      </c>
      <c r="B52" s="490" t="s">
        <v>88</v>
      </c>
      <c r="C52" s="490" t="s">
        <v>128</v>
      </c>
      <c r="D52" s="484">
        <v>528.0434782608696</v>
      </c>
      <c r="E52" s="484">
        <v>80.37986038549609</v>
      </c>
      <c r="F52" s="2" t="s">
        <v>129</v>
      </c>
      <c r="G52" s="438">
        <v>1</v>
      </c>
      <c r="H52" s="439">
        <v>0</v>
      </c>
      <c r="I52" s="440">
        <v>0</v>
      </c>
    </row>
    <row r="53" spans="1:9" ht="12.75">
      <c r="A53" s="490" t="s">
        <v>130</v>
      </c>
      <c r="B53" s="490" t="s">
        <v>88</v>
      </c>
      <c r="C53" s="490" t="s">
        <v>131</v>
      </c>
      <c r="D53" s="484">
        <v>365.78171091445427</v>
      </c>
      <c r="E53" s="484">
        <v>47.05421234572526</v>
      </c>
      <c r="F53" s="2" t="s">
        <v>129</v>
      </c>
      <c r="G53" s="438">
        <v>0.85</v>
      </c>
      <c r="H53" s="439">
        <v>0</v>
      </c>
      <c r="I53" s="440">
        <v>0</v>
      </c>
    </row>
    <row r="54" spans="1:9" ht="12.75">
      <c r="A54" s="490" t="s">
        <v>132</v>
      </c>
      <c r="B54" s="490" t="s">
        <v>88</v>
      </c>
      <c r="C54" s="490" t="s">
        <v>133</v>
      </c>
      <c r="D54" s="484">
        <v>175.51673892554197</v>
      </c>
      <c r="E54" s="484">
        <v>40.401366635249765</v>
      </c>
      <c r="F54" s="2" t="s">
        <v>129</v>
      </c>
      <c r="G54" s="438">
        <v>0.9</v>
      </c>
      <c r="H54" s="439">
        <v>0</v>
      </c>
      <c r="I54" s="440">
        <v>0</v>
      </c>
    </row>
    <row r="55" spans="1:9" ht="12.75">
      <c r="A55" s="490" t="s">
        <v>134</v>
      </c>
      <c r="B55" s="490" t="s">
        <v>88</v>
      </c>
      <c r="C55" s="490" t="s">
        <v>135</v>
      </c>
      <c r="D55" s="485">
        <v>155.94094972067037</v>
      </c>
      <c r="E55" s="485">
        <v>35.78648044692737</v>
      </c>
      <c r="F55" s="2" t="s">
        <v>136</v>
      </c>
      <c r="G55" s="438">
        <v>0.6</v>
      </c>
      <c r="H55" s="439">
        <v>0</v>
      </c>
      <c r="I55" s="440">
        <v>0</v>
      </c>
    </row>
    <row r="56" spans="1:9" ht="12.75">
      <c r="A56" s="490" t="s">
        <v>137</v>
      </c>
      <c r="B56" s="490" t="s">
        <v>88</v>
      </c>
      <c r="C56" s="490" t="s">
        <v>138</v>
      </c>
      <c r="D56" s="484">
        <v>169.83243166823752</v>
      </c>
      <c r="E56" s="484">
        <v>39.142262016965134</v>
      </c>
      <c r="F56" s="2" t="s">
        <v>139</v>
      </c>
      <c r="G56" s="438">
        <v>1</v>
      </c>
      <c r="H56" s="439">
        <v>0</v>
      </c>
      <c r="I56" s="440">
        <v>0</v>
      </c>
    </row>
    <row r="57" spans="1:9" ht="12.75">
      <c r="A57" s="490" t="s">
        <v>140</v>
      </c>
      <c r="B57" s="490" t="s">
        <v>141</v>
      </c>
      <c r="C57" s="490" t="s">
        <v>295</v>
      </c>
      <c r="D57" s="484">
        <v>178.70987999985073</v>
      </c>
      <c r="E57" s="484">
        <v>24.966455574024938</v>
      </c>
      <c r="F57" s="2" t="s">
        <v>302</v>
      </c>
      <c r="G57" s="438">
        <v>1</v>
      </c>
      <c r="H57" s="439">
        <v>0</v>
      </c>
      <c r="I57" s="440">
        <v>0</v>
      </c>
    </row>
    <row r="58" spans="1:9" ht="12.75">
      <c r="A58" s="490" t="s">
        <v>142</v>
      </c>
      <c r="B58" s="490" t="s">
        <v>141</v>
      </c>
      <c r="C58" s="490" t="s">
        <v>304</v>
      </c>
      <c r="D58" s="484">
        <v>15.58886068175599</v>
      </c>
      <c r="E58" s="484">
        <v>3.000981339283899</v>
      </c>
      <c r="F58" s="2" t="s">
        <v>366</v>
      </c>
      <c r="G58" s="438">
        <v>1</v>
      </c>
      <c r="H58" s="439">
        <v>0</v>
      </c>
      <c r="I58" s="440">
        <v>0</v>
      </c>
    </row>
    <row r="59" spans="1:9" ht="12.75">
      <c r="A59" s="490" t="s">
        <v>143</v>
      </c>
      <c r="B59" s="490" t="s">
        <v>141</v>
      </c>
      <c r="C59" s="490" t="s">
        <v>305</v>
      </c>
      <c r="D59" s="484">
        <v>56.32266064093693</v>
      </c>
      <c r="E59" s="484">
        <v>9.028243042380316</v>
      </c>
      <c r="F59" s="2" t="s">
        <v>367</v>
      </c>
      <c r="G59" s="438">
        <v>1</v>
      </c>
      <c r="H59" s="439">
        <v>0</v>
      </c>
      <c r="I59" s="440">
        <v>0</v>
      </c>
    </row>
    <row r="60" spans="1:9" ht="12.75">
      <c r="A60" s="490" t="s">
        <v>145</v>
      </c>
      <c r="B60" s="490" t="s">
        <v>141</v>
      </c>
      <c r="C60" s="490" t="s">
        <v>303</v>
      </c>
      <c r="D60" s="484">
        <v>0.733459000942507</v>
      </c>
      <c r="E60" s="484">
        <v>0.30560791705937795</v>
      </c>
      <c r="F60" s="2" t="s">
        <v>297</v>
      </c>
      <c r="G60" s="438">
        <v>1</v>
      </c>
      <c r="H60" s="439">
        <v>0</v>
      </c>
      <c r="I60" s="440">
        <v>0</v>
      </c>
    </row>
    <row r="61" spans="1:9" ht="12.75">
      <c r="A61" s="490" t="s">
        <v>298</v>
      </c>
      <c r="B61" s="490" t="s">
        <v>141</v>
      </c>
      <c r="C61" s="490" t="s">
        <v>393</v>
      </c>
      <c r="D61" s="484">
        <v>51.36967476472935</v>
      </c>
      <c r="E61" s="484">
        <v>2.068616034087555</v>
      </c>
      <c r="F61" s="2" t="s">
        <v>358</v>
      </c>
      <c r="G61" s="438">
        <v>1</v>
      </c>
      <c r="H61" s="439">
        <v>0</v>
      </c>
      <c r="I61" s="440">
        <v>0</v>
      </c>
    </row>
    <row r="62" spans="1:9" ht="12.75">
      <c r="A62" s="490" t="s">
        <v>299</v>
      </c>
      <c r="B62" s="490" t="s">
        <v>141</v>
      </c>
      <c r="C62" s="490" t="s">
        <v>370</v>
      </c>
      <c r="D62" s="484">
        <v>25.00597169504904</v>
      </c>
      <c r="E62" s="484">
        <v>2.7008832053555087</v>
      </c>
      <c r="F62" s="2" t="s">
        <v>368</v>
      </c>
      <c r="G62" s="438">
        <v>1</v>
      </c>
      <c r="H62" s="439">
        <v>0</v>
      </c>
      <c r="I62" s="440">
        <v>0</v>
      </c>
    </row>
    <row r="63" spans="1:9" ht="12.75">
      <c r="A63" s="490" t="s">
        <v>300</v>
      </c>
      <c r="B63" s="490" t="s">
        <v>141</v>
      </c>
      <c r="C63" s="490" t="s">
        <v>371</v>
      </c>
      <c r="D63" s="484">
        <v>46.46051893665787</v>
      </c>
      <c r="E63" s="484">
        <v>4.171217388987368</v>
      </c>
      <c r="F63" s="2" t="s">
        <v>369</v>
      </c>
      <c r="G63" s="441">
        <v>1</v>
      </c>
      <c r="H63" s="442">
        <v>0</v>
      </c>
      <c r="I63" s="443">
        <v>0</v>
      </c>
    </row>
    <row r="64" spans="1:9" ht="12.75">
      <c r="A64" s="490" t="s">
        <v>301</v>
      </c>
      <c r="B64" s="490" t="s">
        <v>141</v>
      </c>
      <c r="C64" s="490" t="s">
        <v>372</v>
      </c>
      <c r="D64" s="484">
        <v>0.48897266729500477</v>
      </c>
      <c r="E64" s="484">
        <v>0.1344674835061263</v>
      </c>
      <c r="F64" s="2" t="s">
        <v>357</v>
      </c>
      <c r="G64" s="441">
        <v>1</v>
      </c>
      <c r="H64" s="442">
        <v>0</v>
      </c>
      <c r="I64" s="443">
        <v>0</v>
      </c>
    </row>
    <row r="65" spans="1:9" ht="12.75">
      <c r="A65" s="490" t="s">
        <v>388</v>
      </c>
      <c r="B65" s="490" t="s">
        <v>141</v>
      </c>
      <c r="C65" s="490" t="s">
        <v>383</v>
      </c>
      <c r="D65" s="486">
        <v>0.55</v>
      </c>
      <c r="E65" s="486">
        <v>0.11</v>
      </c>
      <c r="F65" s="2" t="s">
        <v>383</v>
      </c>
      <c r="G65" s="444">
        <v>1</v>
      </c>
      <c r="H65" s="442">
        <v>0</v>
      </c>
      <c r="I65" s="443">
        <v>0</v>
      </c>
    </row>
    <row r="66" spans="1:9" ht="12.75">
      <c r="A66" s="490" t="s">
        <v>389</v>
      </c>
      <c r="B66" s="490" t="s">
        <v>141</v>
      </c>
      <c r="C66" s="490" t="s">
        <v>384</v>
      </c>
      <c r="D66" s="486">
        <v>0.7</v>
      </c>
      <c r="E66" s="487">
        <v>0.05</v>
      </c>
      <c r="F66" s="2" t="s">
        <v>384</v>
      </c>
      <c r="G66" s="444">
        <v>1</v>
      </c>
      <c r="H66" s="442">
        <v>0</v>
      </c>
      <c r="I66" s="443">
        <v>0</v>
      </c>
    </row>
    <row r="67" spans="1:9" ht="12.75">
      <c r="A67" s="490" t="s">
        <v>390</v>
      </c>
      <c r="B67" s="490" t="s">
        <v>141</v>
      </c>
      <c r="C67" s="490" t="s">
        <v>391</v>
      </c>
      <c r="D67" s="486">
        <v>0.9</v>
      </c>
      <c r="E67" s="488">
        <v>0.5</v>
      </c>
      <c r="F67" s="2" t="s">
        <v>391</v>
      </c>
      <c r="G67" s="444">
        <v>1</v>
      </c>
      <c r="H67" s="442">
        <v>0</v>
      </c>
      <c r="I67" s="443">
        <v>0</v>
      </c>
    </row>
    <row r="68" spans="1:9" ht="12.75">
      <c r="A68" s="490" t="s">
        <v>392</v>
      </c>
      <c r="B68" s="490" t="s">
        <v>141</v>
      </c>
      <c r="C68" s="490" t="s">
        <v>394</v>
      </c>
      <c r="D68" s="404">
        <v>0.85</v>
      </c>
      <c r="E68" s="489">
        <v>0.25</v>
      </c>
      <c r="F68" s="2" t="s">
        <v>385</v>
      </c>
      <c r="G68" s="444">
        <v>1</v>
      </c>
      <c r="H68" s="442">
        <v>0</v>
      </c>
      <c r="I68" s="443">
        <v>0</v>
      </c>
    </row>
    <row r="69" spans="1:9" ht="12.75">
      <c r="A69" s="490" t="s">
        <v>438</v>
      </c>
      <c r="B69" s="490" t="s">
        <v>439</v>
      </c>
      <c r="C69" s="490" t="s">
        <v>437</v>
      </c>
      <c r="D69" s="404">
        <v>0.275</v>
      </c>
      <c r="E69" s="404">
        <v>0.055</v>
      </c>
      <c r="F69" s="2" t="s">
        <v>437</v>
      </c>
      <c r="G69" s="444">
        <v>1</v>
      </c>
      <c r="H69" s="442">
        <v>0</v>
      </c>
      <c r="I69" s="443">
        <v>0</v>
      </c>
    </row>
  </sheetData>
  <sheetProtection sheet="1" objects="1" scenarios="1" selectLockedCells="1" selectUnlockedCells="1"/>
  <printOptions/>
  <pageMargins left="0.31" right="0.22" top="0.38" bottom="0.31" header="0.24" footer="0.26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H53"/>
  <sheetViews>
    <sheetView zoomScalePageLayoutView="0" workbookViewId="0" topLeftCell="A7">
      <selection activeCell="B22" sqref="B22"/>
    </sheetView>
  </sheetViews>
  <sheetFormatPr defaultColWidth="9.140625" defaultRowHeight="12.75"/>
  <cols>
    <col min="1" max="1" width="19.8515625" style="0" bestFit="1" customWidth="1"/>
    <col min="2" max="2" width="35.28125" style="0" customWidth="1"/>
    <col min="3" max="3" width="9.00390625" style="0" bestFit="1" customWidth="1"/>
    <col min="4" max="4" width="14.8515625" style="0" bestFit="1" customWidth="1"/>
    <col min="5" max="5" width="11.57421875" style="0" bestFit="1" customWidth="1"/>
    <col min="6" max="6" width="12.7109375" style="0" bestFit="1" customWidth="1"/>
    <col min="7" max="7" width="16.7109375" style="0" bestFit="1" customWidth="1"/>
  </cols>
  <sheetData>
    <row r="1" spans="1:5" ht="12.75">
      <c r="A1" s="3" t="s">
        <v>161</v>
      </c>
      <c r="B1" s="3" t="s">
        <v>162</v>
      </c>
      <c r="C1" s="3" t="s">
        <v>163</v>
      </c>
      <c r="D1" s="3" t="s">
        <v>164</v>
      </c>
      <c r="E1" s="3" t="s">
        <v>165</v>
      </c>
    </row>
    <row r="2" spans="1:5" ht="12.75">
      <c r="A2" s="11" t="s">
        <v>17</v>
      </c>
      <c r="B2" s="11" t="s">
        <v>144</v>
      </c>
      <c r="C2" s="12">
        <v>0</v>
      </c>
      <c r="D2" s="12">
        <v>0</v>
      </c>
      <c r="E2" s="13">
        <v>0</v>
      </c>
    </row>
    <row r="3" spans="1:5" ht="12.75">
      <c r="A3" s="11" t="s">
        <v>21</v>
      </c>
      <c r="B3" s="11" t="s">
        <v>26</v>
      </c>
      <c r="C3" s="402">
        <v>0.25</v>
      </c>
      <c r="D3" s="402">
        <v>25</v>
      </c>
      <c r="E3" s="403">
        <v>5</v>
      </c>
    </row>
    <row r="4" spans="1:5" ht="12.75">
      <c r="A4" s="11" t="s">
        <v>24</v>
      </c>
      <c r="B4" s="11" t="s">
        <v>139</v>
      </c>
      <c r="C4" s="402">
        <v>5</v>
      </c>
      <c r="D4" s="402">
        <v>7</v>
      </c>
      <c r="E4" s="403">
        <v>4</v>
      </c>
    </row>
    <row r="5" spans="1:5" ht="12.75">
      <c r="A5" s="11" t="s">
        <v>27</v>
      </c>
      <c r="B5" s="11" t="s">
        <v>90</v>
      </c>
      <c r="C5" s="402">
        <v>8.5</v>
      </c>
      <c r="D5" s="402">
        <v>5</v>
      </c>
      <c r="E5" s="403">
        <v>4</v>
      </c>
    </row>
    <row r="6" spans="1:5" ht="12.75">
      <c r="A6" s="11" t="s">
        <v>30</v>
      </c>
      <c r="B6" s="11" t="s">
        <v>110</v>
      </c>
      <c r="C6" s="402">
        <v>16</v>
      </c>
      <c r="D6" s="402">
        <v>2.5</v>
      </c>
      <c r="E6" s="403">
        <v>4</v>
      </c>
    </row>
    <row r="7" spans="1:5" ht="12.75">
      <c r="A7" s="11" t="s">
        <v>32</v>
      </c>
      <c r="B7" s="11" t="s">
        <v>136</v>
      </c>
      <c r="C7" s="409">
        <v>12</v>
      </c>
      <c r="D7" s="409">
        <v>2</v>
      </c>
      <c r="E7" s="410">
        <v>5.5</v>
      </c>
    </row>
    <row r="8" spans="1:5" ht="12.75">
      <c r="A8" s="11" t="s">
        <v>35</v>
      </c>
      <c r="B8" s="11" t="s">
        <v>146</v>
      </c>
      <c r="C8" s="402">
        <v>0</v>
      </c>
      <c r="D8" s="402">
        <v>0</v>
      </c>
      <c r="E8" s="403">
        <v>0</v>
      </c>
    </row>
    <row r="9" spans="1:5" ht="12.75">
      <c r="A9" s="11" t="s">
        <v>38</v>
      </c>
      <c r="B9" s="11" t="s">
        <v>129</v>
      </c>
      <c r="C9" s="402">
        <v>5</v>
      </c>
      <c r="D9" s="402">
        <v>7</v>
      </c>
      <c r="E9" s="403">
        <v>4</v>
      </c>
    </row>
    <row r="10" spans="1:5" ht="12.75">
      <c r="A10" s="11" t="s">
        <v>41</v>
      </c>
      <c r="B10" s="11" t="s">
        <v>75</v>
      </c>
      <c r="C10" s="402">
        <v>0.75</v>
      </c>
      <c r="D10" s="402">
        <v>3</v>
      </c>
      <c r="E10" s="403">
        <v>5</v>
      </c>
    </row>
    <row r="11" spans="1:5" ht="12.75">
      <c r="A11" s="11" t="s">
        <v>44</v>
      </c>
      <c r="B11" s="11" t="s">
        <v>20</v>
      </c>
      <c r="C11" s="402">
        <v>0.25</v>
      </c>
      <c r="D11" s="402">
        <v>25</v>
      </c>
      <c r="E11" s="403">
        <v>5</v>
      </c>
    </row>
    <row r="12" spans="1:5" ht="12.75">
      <c r="A12" s="11" t="s">
        <v>47</v>
      </c>
      <c r="B12" s="11" t="s">
        <v>126</v>
      </c>
      <c r="C12" s="402">
        <v>5</v>
      </c>
      <c r="D12" s="402">
        <v>1.5</v>
      </c>
      <c r="E12" s="403">
        <v>4</v>
      </c>
    </row>
    <row r="13" spans="1:5" ht="12.75">
      <c r="A13" s="11" t="s">
        <v>49</v>
      </c>
      <c r="B13" s="11" t="s">
        <v>116</v>
      </c>
      <c r="C13" s="402">
        <v>1</v>
      </c>
      <c r="D13" s="407">
        <v>8.5</v>
      </c>
      <c r="E13" s="403">
        <v>4</v>
      </c>
    </row>
    <row r="14" spans="1:5" ht="12.75">
      <c r="A14" s="11" t="s">
        <v>52</v>
      </c>
      <c r="B14" s="11" t="s">
        <v>37</v>
      </c>
      <c r="C14" s="402">
        <v>0.08</v>
      </c>
      <c r="D14" s="402">
        <v>600</v>
      </c>
      <c r="E14" s="403">
        <v>5</v>
      </c>
    </row>
    <row r="15" spans="1:5" ht="12.75">
      <c r="A15" s="11" t="s">
        <v>54</v>
      </c>
      <c r="B15" s="11" t="s">
        <v>61</v>
      </c>
      <c r="C15" s="402">
        <v>0.25</v>
      </c>
      <c r="D15" s="402">
        <v>40</v>
      </c>
      <c r="E15" s="403">
        <v>5</v>
      </c>
    </row>
    <row r="16" spans="1:5" ht="12.75">
      <c r="A16" s="11" t="s">
        <v>57</v>
      </c>
      <c r="B16" s="11" t="s">
        <v>59</v>
      </c>
      <c r="C16" s="402">
        <v>0.3</v>
      </c>
      <c r="D16" s="407">
        <v>180</v>
      </c>
      <c r="E16" s="403">
        <v>5</v>
      </c>
    </row>
    <row r="17" spans="1:5" ht="12.75">
      <c r="A17" s="11" t="s">
        <v>60</v>
      </c>
      <c r="B17" s="11" t="s">
        <v>72</v>
      </c>
      <c r="C17" s="402">
        <v>0.5</v>
      </c>
      <c r="D17" s="402">
        <v>25</v>
      </c>
      <c r="E17" s="403">
        <v>5</v>
      </c>
    </row>
    <row r="18" spans="1:5" ht="12.75">
      <c r="A18" s="11" t="s">
        <v>62</v>
      </c>
      <c r="B18" s="11" t="s">
        <v>78</v>
      </c>
      <c r="C18" s="402">
        <v>0</v>
      </c>
      <c r="D18" s="402">
        <v>0</v>
      </c>
      <c r="E18" s="403">
        <v>0</v>
      </c>
    </row>
    <row r="19" spans="1:5" ht="12.75">
      <c r="A19" s="11" t="s">
        <v>65</v>
      </c>
      <c r="B19" s="11" t="s">
        <v>29</v>
      </c>
      <c r="C19" s="402">
        <v>0.05</v>
      </c>
      <c r="D19" s="402">
        <v>400</v>
      </c>
      <c r="E19" s="403">
        <v>4</v>
      </c>
    </row>
    <row r="20" spans="1:5" ht="12.75">
      <c r="A20" s="11" t="s">
        <v>68</v>
      </c>
      <c r="B20" s="11" t="s">
        <v>107</v>
      </c>
      <c r="C20" s="402">
        <v>27</v>
      </c>
      <c r="D20" s="402">
        <v>3</v>
      </c>
      <c r="E20" s="403">
        <v>4</v>
      </c>
    </row>
    <row r="21" spans="1:5" ht="12.75">
      <c r="A21" s="11" t="s">
        <v>70</v>
      </c>
      <c r="B21" s="11" t="s">
        <v>51</v>
      </c>
      <c r="C21" s="402">
        <v>1.25</v>
      </c>
      <c r="D21" s="402">
        <v>3</v>
      </c>
      <c r="E21" s="403">
        <v>3</v>
      </c>
    </row>
    <row r="22" spans="1:5" ht="12.75">
      <c r="A22" s="11" t="s">
        <v>76</v>
      </c>
      <c r="B22" s="11" t="s">
        <v>23</v>
      </c>
      <c r="C22" s="402">
        <v>0.1</v>
      </c>
      <c r="D22" s="402">
        <v>100</v>
      </c>
      <c r="E22" s="403">
        <v>5</v>
      </c>
    </row>
    <row r="23" spans="1:5" ht="12.75">
      <c r="A23" s="11" t="s">
        <v>79</v>
      </c>
      <c r="B23" s="11" t="s">
        <v>34</v>
      </c>
      <c r="C23" s="402">
        <v>0.13</v>
      </c>
      <c r="D23" s="402">
        <v>200</v>
      </c>
      <c r="E23" s="403">
        <v>5</v>
      </c>
    </row>
    <row r="24" spans="1:5" ht="12.75">
      <c r="A24" s="11" t="s">
        <v>82</v>
      </c>
      <c r="B24" s="11" t="s">
        <v>64</v>
      </c>
      <c r="C24" s="402">
        <v>0.05</v>
      </c>
      <c r="D24" s="402">
        <v>500</v>
      </c>
      <c r="E24" s="403">
        <v>5</v>
      </c>
    </row>
    <row r="25" spans="1:5" ht="12.75">
      <c r="A25" s="11" t="s">
        <v>85</v>
      </c>
      <c r="B25" s="11" t="s">
        <v>56</v>
      </c>
      <c r="C25" s="402">
        <v>0.3</v>
      </c>
      <c r="D25" s="402">
        <v>80</v>
      </c>
      <c r="E25" s="403">
        <v>5</v>
      </c>
    </row>
    <row r="26" spans="1:5" ht="12.75">
      <c r="A26" s="11" t="s">
        <v>149</v>
      </c>
      <c r="B26" s="11" t="s">
        <v>46</v>
      </c>
      <c r="C26" s="402">
        <v>1.85</v>
      </c>
      <c r="D26" s="402">
        <v>18</v>
      </c>
      <c r="E26" s="403">
        <v>8</v>
      </c>
    </row>
    <row r="27" spans="1:5" ht="12.75">
      <c r="A27" s="11" t="s">
        <v>150</v>
      </c>
      <c r="B27" s="11" t="s">
        <v>43</v>
      </c>
      <c r="C27" s="402">
        <v>0.05</v>
      </c>
      <c r="D27" s="402">
        <v>3000</v>
      </c>
      <c r="E27" s="403">
        <v>5</v>
      </c>
    </row>
    <row r="28" spans="1:5" ht="12.75">
      <c r="A28" s="11" t="s">
        <v>151</v>
      </c>
      <c r="B28" s="11" t="s">
        <v>119</v>
      </c>
      <c r="C28" s="402">
        <v>3</v>
      </c>
      <c r="D28" s="402">
        <v>6</v>
      </c>
      <c r="E28" s="403">
        <v>4</v>
      </c>
    </row>
    <row r="29" spans="1:5" ht="12.75">
      <c r="A29" s="11" t="s">
        <v>87</v>
      </c>
      <c r="B29" s="11" t="s">
        <v>81</v>
      </c>
      <c r="C29" s="402">
        <v>0</v>
      </c>
      <c r="D29" s="402">
        <v>0</v>
      </c>
      <c r="E29" s="403">
        <v>0</v>
      </c>
    </row>
    <row r="30" spans="1:5" ht="12.75">
      <c r="A30" s="11" t="s">
        <v>91</v>
      </c>
      <c r="B30" s="11" t="s">
        <v>302</v>
      </c>
      <c r="C30" s="404">
        <v>14</v>
      </c>
      <c r="D30" s="402">
        <v>0.7</v>
      </c>
      <c r="E30" s="403">
        <v>4</v>
      </c>
    </row>
    <row r="31" spans="1:5" ht="12.75">
      <c r="A31" s="11" t="s">
        <v>93</v>
      </c>
      <c r="B31" s="11" t="s">
        <v>103</v>
      </c>
      <c r="C31" s="402">
        <v>12</v>
      </c>
      <c r="D31" s="402">
        <v>18</v>
      </c>
      <c r="E31" s="403">
        <v>4</v>
      </c>
    </row>
    <row r="32" spans="1:5" ht="12.75">
      <c r="A32" s="11" t="s">
        <v>95</v>
      </c>
      <c r="B32" s="11" t="s">
        <v>67</v>
      </c>
      <c r="C32" s="402">
        <v>0.2</v>
      </c>
      <c r="D32" s="402">
        <v>220</v>
      </c>
      <c r="E32" s="403">
        <v>5</v>
      </c>
    </row>
    <row r="33" spans="1:5" ht="12.75">
      <c r="A33" s="11" t="s">
        <v>97</v>
      </c>
      <c r="B33" s="11" t="s">
        <v>40</v>
      </c>
      <c r="C33" s="402">
        <v>0.08</v>
      </c>
      <c r="D33" s="407">
        <v>500</v>
      </c>
      <c r="E33" s="408">
        <v>4</v>
      </c>
    </row>
    <row r="34" spans="1:8" ht="12.75">
      <c r="A34" s="11" t="s">
        <v>99</v>
      </c>
      <c r="B34" s="11" t="s">
        <v>84</v>
      </c>
      <c r="C34" s="402">
        <v>35</v>
      </c>
      <c r="D34" s="402">
        <v>1</v>
      </c>
      <c r="E34" s="403">
        <v>3</v>
      </c>
      <c r="F34" s="215"/>
      <c r="G34" s="216"/>
      <c r="H34" s="216"/>
    </row>
    <row r="35" spans="1:8" ht="12.75">
      <c r="A35" s="11" t="s">
        <v>101</v>
      </c>
      <c r="B35" s="2" t="s">
        <v>366</v>
      </c>
      <c r="C35" s="405">
        <v>300</v>
      </c>
      <c r="D35" s="403">
        <v>0.3</v>
      </c>
      <c r="E35" s="403">
        <v>1.5</v>
      </c>
      <c r="F35" s="5"/>
      <c r="G35" s="13"/>
      <c r="H35" s="13"/>
    </row>
    <row r="36" spans="1:5" ht="12.75">
      <c r="A36" s="11" t="s">
        <v>104</v>
      </c>
      <c r="B36" s="2" t="s">
        <v>367</v>
      </c>
      <c r="C36" s="405">
        <v>100</v>
      </c>
      <c r="D36" s="403">
        <v>0.68</v>
      </c>
      <c r="E36" s="403">
        <v>2</v>
      </c>
    </row>
    <row r="37" spans="1:5" ht="12.75">
      <c r="A37" s="11" t="s">
        <v>106</v>
      </c>
      <c r="B37" s="2" t="s">
        <v>297</v>
      </c>
      <c r="C37" s="405">
        <v>3000</v>
      </c>
      <c r="D37" s="405">
        <v>0.004</v>
      </c>
      <c r="E37" s="405">
        <v>4</v>
      </c>
    </row>
    <row r="38" spans="1:8" ht="12.75">
      <c r="A38" s="11" t="s">
        <v>108</v>
      </c>
      <c r="B38" s="2" t="s">
        <v>358</v>
      </c>
      <c r="C38" s="404">
        <v>14</v>
      </c>
      <c r="D38" s="402">
        <v>0.7</v>
      </c>
      <c r="E38" s="403">
        <v>4</v>
      </c>
      <c r="F38" s="203"/>
      <c r="G38" s="5"/>
      <c r="H38" s="13"/>
    </row>
    <row r="39" spans="1:8" ht="12.75">
      <c r="A39" s="11" t="s">
        <v>111</v>
      </c>
      <c r="B39" s="67" t="s">
        <v>368</v>
      </c>
      <c r="C39" s="405">
        <v>400</v>
      </c>
      <c r="D39" s="403">
        <v>0.3</v>
      </c>
      <c r="E39" s="403">
        <v>1.5</v>
      </c>
      <c r="F39" s="5"/>
      <c r="G39" s="5"/>
      <c r="H39" s="203"/>
    </row>
    <row r="40" spans="1:8" ht="12.75">
      <c r="A40" s="11" t="s">
        <v>112</v>
      </c>
      <c r="B40" s="67" t="s">
        <v>369</v>
      </c>
      <c r="C40" s="405">
        <v>60</v>
      </c>
      <c r="D40" s="403">
        <v>1.6</v>
      </c>
      <c r="E40" s="403">
        <v>1.3</v>
      </c>
      <c r="F40" s="5"/>
      <c r="G40" s="5"/>
      <c r="H40" s="203"/>
    </row>
    <row r="41" spans="1:8" ht="12.75">
      <c r="A41" s="4">
        <v>42</v>
      </c>
      <c r="B41" s="4" t="s">
        <v>357</v>
      </c>
      <c r="C41" s="405">
        <v>3000</v>
      </c>
      <c r="D41" s="405">
        <v>0.004</v>
      </c>
      <c r="E41" s="405">
        <v>4</v>
      </c>
      <c r="F41" s="5"/>
      <c r="G41" s="5"/>
      <c r="H41" s="5"/>
    </row>
    <row r="42" spans="1:6" ht="12.75">
      <c r="A42" s="425" t="s">
        <v>388</v>
      </c>
      <c r="B42" s="426" t="s">
        <v>383</v>
      </c>
      <c r="C42" s="406">
        <f>33000</f>
        <v>33000</v>
      </c>
      <c r="D42" s="405">
        <v>0.002</v>
      </c>
      <c r="E42" s="405">
        <v>1.7</v>
      </c>
      <c r="F42" s="117"/>
    </row>
    <row r="43" spans="1:5" ht="12.75">
      <c r="A43" s="425" t="s">
        <v>389</v>
      </c>
      <c r="B43" s="427" t="s">
        <v>451</v>
      </c>
      <c r="C43" s="404">
        <f>40000</f>
        <v>40000</v>
      </c>
      <c r="D43" s="405">
        <v>0.002</v>
      </c>
      <c r="E43" s="405">
        <v>2</v>
      </c>
    </row>
    <row r="44" spans="1:5" ht="12.75">
      <c r="A44" s="425" t="s">
        <v>390</v>
      </c>
      <c r="B44" s="427" t="s">
        <v>449</v>
      </c>
      <c r="C44" s="404">
        <v>20476</v>
      </c>
      <c r="D44" s="404">
        <v>0.0004</v>
      </c>
      <c r="E44" s="404">
        <v>2.4</v>
      </c>
    </row>
    <row r="45" spans="1:5" ht="12.75">
      <c r="A45" s="425">
        <v>92</v>
      </c>
      <c r="B45" s="427" t="s">
        <v>452</v>
      </c>
      <c r="C45" s="404">
        <f>C42/2</f>
        <v>16500</v>
      </c>
      <c r="D45" s="404">
        <v>0.0015</v>
      </c>
      <c r="E45" s="404">
        <v>1.7</v>
      </c>
    </row>
    <row r="46" spans="1:5" ht="12.75">
      <c r="A46" s="425" t="s">
        <v>392</v>
      </c>
      <c r="B46" s="428" t="s">
        <v>385</v>
      </c>
      <c r="C46" s="404">
        <v>20000</v>
      </c>
      <c r="D46" s="405">
        <v>0.0042</v>
      </c>
      <c r="E46" s="405"/>
    </row>
    <row r="47" spans="1:5" s="466" customFormat="1" ht="12.75">
      <c r="A47" s="471" t="s">
        <v>464</v>
      </c>
      <c r="B47" s="472" t="s">
        <v>462</v>
      </c>
      <c r="C47" s="473">
        <v>0.25</v>
      </c>
      <c r="D47" s="473">
        <v>30</v>
      </c>
      <c r="E47" s="474">
        <v>5</v>
      </c>
    </row>
    <row r="48" spans="1:5" s="466" customFormat="1" ht="12.75">
      <c r="A48" s="475" t="s">
        <v>465</v>
      </c>
      <c r="B48" s="476" t="s">
        <v>463</v>
      </c>
      <c r="C48" s="480">
        <v>0.3</v>
      </c>
      <c r="D48" s="480">
        <v>85</v>
      </c>
      <c r="E48" s="480">
        <v>5</v>
      </c>
    </row>
    <row r="49" spans="1:5" ht="12.75">
      <c r="A49" s="4"/>
      <c r="B49" s="4"/>
      <c r="C49" s="5"/>
      <c r="D49" s="5"/>
      <c r="E49" s="5"/>
    </row>
    <row r="50" spans="1:5" ht="12.75">
      <c r="A50" s="4"/>
      <c r="B50" s="4"/>
      <c r="C50" s="5"/>
      <c r="D50" s="5"/>
      <c r="E50" s="5"/>
    </row>
    <row r="51" spans="1:5" ht="12.75">
      <c r="A51" s="4"/>
      <c r="B51" s="4"/>
      <c r="C51" s="5"/>
      <c r="D51" s="5"/>
      <c r="E51" s="5"/>
    </row>
    <row r="52" spans="1:5" ht="12.75">
      <c r="A52" s="4"/>
      <c r="B52" s="4"/>
      <c r="C52" s="5"/>
      <c r="D52" s="5"/>
      <c r="E52" s="5"/>
    </row>
    <row r="53" spans="1:5" ht="12.75">
      <c r="A53" s="4"/>
      <c r="C53" s="5"/>
      <c r="D53" s="5"/>
      <c r="E53" s="5"/>
    </row>
  </sheetData>
  <sheetProtection sheet="1" objects="1" scenarios="1" selectLockedCells="1" selectUnlockedCells="1"/>
  <printOptions/>
  <pageMargins left="0.18" right="0.29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Istituto Nazionale di Economia Agraria</dc:creator>
  <cp:keywords/>
  <dc:description/>
  <cp:lastModifiedBy>Laura MONTANI</cp:lastModifiedBy>
  <cp:lastPrinted>2016-05-10T13:36:57Z</cp:lastPrinted>
  <dcterms:created xsi:type="dcterms:W3CDTF">2001-08-19T05:11:36Z</dcterms:created>
  <dcterms:modified xsi:type="dcterms:W3CDTF">2022-05-03T12:04:58Z</dcterms:modified>
  <cp:category/>
  <cp:version/>
  <cp:contentType/>
  <cp:contentStatus/>
</cp:coreProperties>
</file>