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drawings/drawing3.xml" ContentType="application/vnd.openxmlformats-officedocument.drawing+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drawings/drawing4.xml" ContentType="application/vnd.openxmlformats-officedocument.drawing+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drawings/drawing5.xml" ContentType="application/vnd.openxmlformats-officedocument.drawing+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364.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trlProps/ctrlProp365.xml" ContentType="application/vnd.ms-excel.controlpropertie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R:\COMMON\CONTO ANNUALE\ANNO 2024\"/>
    </mc:Choice>
  </mc:AlternateContent>
  <bookViews>
    <workbookView xWindow="28680" yWindow="-120" windowWidth="29040" windowHeight="15720" tabRatio="896" firstSheet="5" activeTab="18"/>
  </bookViews>
  <sheets>
    <sheet name="SI_1" sheetId="47" r:id="rId1"/>
    <sheet name="SI_1A(COMUNI-PROVINCE-CITTA_ME)" sheetId="87" r:id="rId2"/>
    <sheet name="SI_1A(UNIONE_COMUNI)" sheetId="88" r:id="rId3"/>
    <sheet name="SI_1A(COMUNITA_MONTANE)" sheetId="89" r:id="rId4"/>
    <sheet name="SI_1A_CONV" sheetId="70" r:id="rId5"/>
    <sheet name="t1" sheetId="2" r:id="rId6"/>
    <sheet name="t2" sheetId="86" r:id="rId7"/>
    <sheet name="t2A" sheetId="53" r:id="rId8"/>
    <sheet name="t3" sheetId="20" r:id="rId9"/>
    <sheet name="t4" sheetId="9" r:id="rId10"/>
    <sheet name="t5" sheetId="8" r:id="rId11"/>
    <sheet name="t6" sheetId="7" r:id="rId12"/>
    <sheet name="t7" sheetId="6" r:id="rId13"/>
    <sheet name="t8" sheetId="5" r:id="rId14"/>
    <sheet name="t9" sheetId="4" r:id="rId15"/>
    <sheet name="t10" sheetId="18" r:id="rId16"/>
    <sheet name="t11" sheetId="43" r:id="rId17"/>
    <sheet name="t12" sheetId="15" r:id="rId18"/>
    <sheet name="t13" sheetId="14" r:id="rId19"/>
    <sheet name="t14" sheetId="23" r:id="rId20"/>
    <sheet name="t15(1)" sheetId="78" r:id="rId21"/>
    <sheet name="t15(2)" sheetId="79" r:id="rId22"/>
    <sheet name="SICI(1)" sheetId="80" r:id="rId23"/>
    <sheet name="SICI(2)" sheetId="81" r:id="rId24"/>
    <sheet name="Tabella Riconciliazione" sheetId="66" r:id="rId25"/>
    <sheet name="Valori Medi" sheetId="58" r:id="rId26"/>
    <sheet name="Squadratura 1" sheetId="31" r:id="rId27"/>
    <sheet name="Squadratura 2" sheetId="30" r:id="rId28"/>
    <sheet name="Squadratura 3" sheetId="32" r:id="rId29"/>
    <sheet name="Squadratura 4" sheetId="33" r:id="rId30"/>
    <sheet name="Squadratura 6" sheetId="82" r:id="rId31"/>
    <sheet name="Squadratura 7" sheetId="63" r:id="rId32"/>
    <sheet name="Incongruenze 1 e 11" sheetId="35" r:id="rId33"/>
    <sheet name="Incongruenza 2" sheetId="29" r:id="rId34"/>
    <sheet name="Incongruenza 3" sheetId="85" r:id="rId35"/>
    <sheet name="Incongruenza 4 e controlli t14" sheetId="46" r:id="rId36"/>
    <sheet name="Incongruenza 5" sheetId="44" r:id="rId37"/>
    <sheet name="Incongruenza 6" sheetId="45" r:id="rId38"/>
    <sheet name="Incongruenza 7" sheetId="48" r:id="rId39"/>
    <sheet name="Incongruenza 8" sheetId="64" r:id="rId40"/>
    <sheet name="Incongruenza 10" sheetId="71" r:id="rId41"/>
    <sheet name="Incongruenze 12 e 13" sheetId="65" r:id="rId42"/>
    <sheet name="Incongruenza 14" sheetId="74" r:id="rId43"/>
    <sheet name="Incongruenza 15" sheetId="84" r:id="rId44"/>
  </sheets>
  <definedNames>
    <definedName name="_xlnm._FilterDatabase" localSheetId="13" hidden="1">'t8'!$A$3:$AB$34</definedName>
    <definedName name="_Hlk124504388" localSheetId="1">'SI_1A(COMUNI-PROVINCE-CITTA_ME)'!$C$176</definedName>
    <definedName name="_xlnm.Print_Area" localSheetId="43">'Incongruenza 15'!$A$1:$E$8</definedName>
    <definedName name="_xlnm.Print_Area" localSheetId="34">'Incongruenza 3'!$A$1:$E$26</definedName>
    <definedName name="_xlnm.Print_Area" localSheetId="32">'Incongruenze 1 e 11'!$A$1:$E$21</definedName>
    <definedName name="_xlnm.Print_Area" localSheetId="41">'Incongruenze 12 e 13'!$A$1:$D$14</definedName>
    <definedName name="_xlnm.Print_Area" localSheetId="0">SI_1!$A$1:$H$221</definedName>
    <definedName name="_xlnm.Print_Area" localSheetId="1">'SI_1A(COMUNI-PROVINCE-CITTA_ME)'!$A$1:$H$250</definedName>
    <definedName name="_xlnm.Print_Area" localSheetId="3">'SI_1A(COMUNITA_MONTANE)'!$A$1:$H$251</definedName>
    <definedName name="_xlnm.Print_Area" localSheetId="2">'SI_1A(UNIONE_COMUNI)'!$A$1:$H$251</definedName>
    <definedName name="_xlnm.Print_Area" localSheetId="4">SI_1A_CONV!$A$1:$H$162</definedName>
    <definedName name="_xlnm.Print_Area" localSheetId="22">'SICI(1)'!$A$1:$F$17</definedName>
    <definedName name="_xlnm.Print_Area" localSheetId="23">'SICI(2)'!$A$1:$F$73</definedName>
    <definedName name="_xlnm.Print_Area" localSheetId="26">'Squadratura 1'!$A$1:$J$34</definedName>
    <definedName name="_xlnm.Print_Area" localSheetId="27">'Squadratura 2'!$A$1:$L$35</definedName>
    <definedName name="_xlnm.Print_Area" localSheetId="28">'Squadratura 3'!$A$1:$Z$36</definedName>
    <definedName name="_xlnm.Print_Area" localSheetId="29">'Squadratura 4'!$A$1:$I$34</definedName>
    <definedName name="_xlnm.Print_Area" localSheetId="30">'Squadratura 6'!$A$1:$E$13</definedName>
    <definedName name="_xlnm.Print_Area" localSheetId="31">'Squadratura 7'!$A$1:$D$24</definedName>
    <definedName name="_xlnm.Print_Area" localSheetId="5">'t1'!$A$1:$AJ$38</definedName>
    <definedName name="_xlnm.Print_Area" localSheetId="15">'t10'!$A$1:$AV$36</definedName>
    <definedName name="_xlnm.Print_Area" localSheetId="16">'t11'!$A$1:$BA$38</definedName>
    <definedName name="_xlnm.Print_Area" localSheetId="17">'t12'!$A$1:$AH$38</definedName>
    <definedName name="_xlnm.Print_Area" localSheetId="18">'t13'!$A$1:$AV$37</definedName>
    <definedName name="_xlnm.Print_Area" localSheetId="19">'t14'!$A$1:$D$34</definedName>
    <definedName name="_xlnm.Print_Area" localSheetId="20">'t15(1)'!$A$1:$G$25</definedName>
    <definedName name="_xlnm.Print_Area" localSheetId="21">'t15(2)'!$A$1:$G$46</definedName>
    <definedName name="_xlnm.Print_Area" localSheetId="7">t2A!$A$1:$S$19</definedName>
    <definedName name="_xlnm.Print_Area" localSheetId="8">'t3'!$A$1:$P$39</definedName>
    <definedName name="_xlnm.Print_Area" localSheetId="9" xml:space="preserve">   't4'!$A$1:$AE$45</definedName>
    <definedName name="_xlnm.Print_Area" localSheetId="10">'t5'!$A$1:$V$38</definedName>
    <definedName name="_xlnm.Print_Area" localSheetId="12">'t7'!$A$1:$X$36</definedName>
    <definedName name="_xlnm.Print_Area" localSheetId="13">'t8'!$A$1:$AB$37</definedName>
    <definedName name="_xlnm.Print_Area" localSheetId="14">'t9'!$A$1:$P$36</definedName>
    <definedName name="_xlnm.Print_Area" localSheetId="25">'Valori Medi'!$A$1:$T$36</definedName>
    <definedName name="CODI_ISTITUZIONE" localSheetId="1">#REF!</definedName>
    <definedName name="CODI_ISTITUZIONE" localSheetId="22">#REF!</definedName>
    <definedName name="CODI_ISTITUZIONE" localSheetId="21">#REF!</definedName>
    <definedName name="CODI_ISTITUZIONE">#REF!</definedName>
    <definedName name="CODI_ISTITUZIONE2" localSheetId="42">#REF!</definedName>
    <definedName name="CODI_ISTITUZIONE2" localSheetId="43">#REF!</definedName>
    <definedName name="CODI_ISTITUZIONE2" localSheetId="34">#REF!</definedName>
    <definedName name="CODI_ISTITUZIONE2" localSheetId="39">#REF!</definedName>
    <definedName name="CODI_ISTITUZIONE2" localSheetId="41">#REF!</definedName>
    <definedName name="CODI_ISTITUZIONE2" localSheetId="1">#REF!</definedName>
    <definedName name="CODI_ISTITUZIONE2" localSheetId="4">#REF!</definedName>
    <definedName name="CODI_ISTITUZIONE2" localSheetId="22">#REF!</definedName>
    <definedName name="CODI_ISTITUZIONE2" localSheetId="23">#REF!</definedName>
    <definedName name="CODI_ISTITUZIONE2" localSheetId="30">#REF!</definedName>
    <definedName name="CODI_ISTITUZIONE2" localSheetId="31">#REF!</definedName>
    <definedName name="CODI_ISTITUZIONE2" localSheetId="21">#REF!</definedName>
    <definedName name="CODI_ISTITUZIONE2">#REF!</definedName>
    <definedName name="DESC_ISTITUZIONE" localSheetId="1">#REF!</definedName>
    <definedName name="DESC_ISTITUZIONE" localSheetId="22">#REF!</definedName>
    <definedName name="DESC_ISTITUZIONE" localSheetId="21">#REF!</definedName>
    <definedName name="DESC_ISTITUZIONE">#REF!</definedName>
    <definedName name="DESC_ISTITUZIONE2" localSheetId="42">#REF!</definedName>
    <definedName name="DESC_ISTITUZIONE2" localSheetId="43">#REF!</definedName>
    <definedName name="DESC_ISTITUZIONE2" localSheetId="34">#REF!</definedName>
    <definedName name="DESC_ISTITUZIONE2" localSheetId="39">#REF!</definedName>
    <definedName name="DESC_ISTITUZIONE2" localSheetId="41">#REF!</definedName>
    <definedName name="DESC_ISTITUZIONE2" localSheetId="1">#REF!</definedName>
    <definedName name="DESC_ISTITUZIONE2" localSheetId="4">#REF!</definedName>
    <definedName name="DESC_ISTITUZIONE2" localSheetId="22">#REF!</definedName>
    <definedName name="DESC_ISTITUZIONE2" localSheetId="23">#REF!</definedName>
    <definedName name="DESC_ISTITUZIONE2" localSheetId="30">#REF!</definedName>
    <definedName name="DESC_ISTITUZIONE2" localSheetId="31">#REF!</definedName>
    <definedName name="DESC_ISTITUZIONE2" localSheetId="21">#REF!</definedName>
    <definedName name="DESC_ISTITUZIONE2">#REF!</definedName>
    <definedName name="_xlnm.Print_Titles" localSheetId="32">'Incongruenze 1 e 11'!$4:$4</definedName>
    <definedName name="_xlnm.Print_Titles" localSheetId="41">'Incongruenze 12 e 13'!$4:$4</definedName>
    <definedName name="_xlnm.Print_Titles" localSheetId="22">'SICI(1)'!$1:$10</definedName>
    <definedName name="_xlnm.Print_Titles" localSheetId="23">'SICI(2)'!$1:$10</definedName>
    <definedName name="_xlnm.Print_Titles" localSheetId="26">'Squadratura 1'!#REF!</definedName>
    <definedName name="_xlnm.Print_Titles" localSheetId="27">'Squadratura 2'!#REF!</definedName>
    <definedName name="_xlnm.Print_Titles" localSheetId="28">'Squadratura 3'!#REF!</definedName>
    <definedName name="_xlnm.Print_Titles" localSheetId="29">'Squadratura 4'!#REF!</definedName>
    <definedName name="_xlnm.Print_Titles" localSheetId="31">'Squadratura 7'!#REF!</definedName>
    <definedName name="_xlnm.Print_Titles" localSheetId="5">'t1'!$1:$5</definedName>
    <definedName name="_xlnm.Print_Titles" localSheetId="15">'t10'!$A:$B,'t10'!$1:$2</definedName>
    <definedName name="_xlnm.Print_Titles" localSheetId="17">'t12'!$1:$5</definedName>
    <definedName name="_xlnm.Print_Titles" localSheetId="18">'t13'!$1:$5</definedName>
    <definedName name="_xlnm.Print_Titles" localSheetId="20">'t15(1)'!$1:$6</definedName>
    <definedName name="_xlnm.Print_Titles" localSheetId="6">'t2'!$1:$5</definedName>
    <definedName name="_xlnm.Print_Titles" localSheetId="9">'t4'!$A:$B,'t4'!$1:$14</definedName>
    <definedName name="_xlnm.Print_Titles" localSheetId="25">'Valori Medi'!$A:$E,'Valori Medi'!$4:$5</definedName>
  </definedNames>
  <calcPr calcId="152511"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6" i="23" l="1"/>
  <c r="D20" i="23"/>
  <c r="D19" i="23"/>
  <c r="D18" i="23"/>
  <c r="D15" i="23"/>
  <c r="D14" i="23"/>
  <c r="D4" i="23"/>
  <c r="G62" i="47"/>
  <c r="D6" i="23" l="1"/>
  <c r="F32" i="8"/>
  <c r="E32" i="8"/>
  <c r="AT31" i="14" l="1"/>
  <c r="AB31" i="15"/>
  <c r="AA31" i="15"/>
  <c r="AS33" i="43"/>
  <c r="AO33" i="43"/>
  <c r="AG33" i="43"/>
  <c r="AD33" i="43"/>
  <c r="AC33" i="43"/>
  <c r="AM31" i="18"/>
  <c r="C31" i="4"/>
  <c r="U31" i="5"/>
  <c r="Q31" i="6"/>
  <c r="AB10" i="86"/>
  <c r="AA10" i="86"/>
  <c r="AG31" i="2"/>
  <c r="AC31" i="2"/>
  <c r="G8" i="43" l="1"/>
  <c r="H8" i="43"/>
  <c r="G9" i="43"/>
  <c r="H9" i="43"/>
  <c r="G10" i="43"/>
  <c r="H10" i="43"/>
  <c r="G11" i="43"/>
  <c r="H11" i="43"/>
  <c r="G12" i="43"/>
  <c r="H12" i="43"/>
  <c r="G13" i="43"/>
  <c r="H13" i="43"/>
  <c r="G14" i="43"/>
  <c r="H14" i="43"/>
  <c r="G15" i="43"/>
  <c r="H15" i="43"/>
  <c r="G16" i="43"/>
  <c r="H16" i="43"/>
  <c r="G17" i="43"/>
  <c r="H17" i="43"/>
  <c r="G18" i="43"/>
  <c r="H18" i="43"/>
  <c r="G19" i="43"/>
  <c r="H19" i="43"/>
  <c r="G20" i="43"/>
  <c r="H20" i="43"/>
  <c r="G21" i="43"/>
  <c r="H21" i="43"/>
  <c r="G22" i="43"/>
  <c r="H22" i="43"/>
  <c r="G23" i="43"/>
  <c r="H23" i="43"/>
  <c r="G24" i="43"/>
  <c r="H24" i="43"/>
  <c r="G25" i="43"/>
  <c r="H25" i="43"/>
  <c r="G26" i="43"/>
  <c r="H26" i="43"/>
  <c r="G27" i="43"/>
  <c r="H27" i="43"/>
  <c r="G28" i="43"/>
  <c r="H28" i="43"/>
  <c r="G29" i="43"/>
  <c r="H29" i="43"/>
  <c r="G30" i="43"/>
  <c r="H30" i="43"/>
  <c r="G31" i="43"/>
  <c r="H31" i="43"/>
  <c r="G32" i="43"/>
  <c r="H32" i="43"/>
  <c r="G33" i="43"/>
  <c r="H33" i="43"/>
  <c r="G34" i="43"/>
  <c r="H34" i="43"/>
  <c r="G35" i="43"/>
  <c r="H35" i="43"/>
  <c r="AZ35" i="43"/>
  <c r="AY35" i="43"/>
  <c r="AZ34" i="43"/>
  <c r="AY34" i="43"/>
  <c r="AZ33" i="43"/>
  <c r="AY33" i="43"/>
  <c r="AZ32" i="43"/>
  <c r="AY32" i="43"/>
  <c r="AZ31" i="43"/>
  <c r="AY31" i="43"/>
  <c r="AZ30" i="43"/>
  <c r="AY30" i="43"/>
  <c r="AZ29" i="43"/>
  <c r="AY29" i="43"/>
  <c r="AZ28" i="43"/>
  <c r="AY28" i="43"/>
  <c r="AZ27" i="43"/>
  <c r="AY27" i="43"/>
  <c r="AZ26" i="43"/>
  <c r="AY26" i="43"/>
  <c r="AZ25" i="43"/>
  <c r="AY25" i="43"/>
  <c r="AZ24" i="43"/>
  <c r="AY24" i="43"/>
  <c r="AZ23" i="43"/>
  <c r="AY23" i="43"/>
  <c r="AZ22" i="43"/>
  <c r="AY22" i="43"/>
  <c r="AZ21" i="43"/>
  <c r="AY21" i="43"/>
  <c r="AZ20" i="43"/>
  <c r="AY20" i="43"/>
  <c r="AZ19" i="43"/>
  <c r="AY19" i="43"/>
  <c r="AZ18" i="43"/>
  <c r="AY18" i="43"/>
  <c r="AZ17" i="43"/>
  <c r="AY17" i="43"/>
  <c r="AZ16" i="43"/>
  <c r="AY16" i="43"/>
  <c r="AZ15" i="43"/>
  <c r="AY15" i="43"/>
  <c r="AZ14" i="43"/>
  <c r="AY14" i="43"/>
  <c r="AZ13" i="43"/>
  <c r="AY13" i="43"/>
  <c r="AZ12" i="43"/>
  <c r="AY12" i="43"/>
  <c r="AZ11" i="43"/>
  <c r="AY11" i="43"/>
  <c r="AZ10" i="43"/>
  <c r="AY10" i="43"/>
  <c r="AZ9" i="43"/>
  <c r="AY9" i="43"/>
  <c r="AZ8" i="43"/>
  <c r="AY8" i="43"/>
  <c r="AG36" i="43"/>
  <c r="AH36" i="43"/>
  <c r="W23" i="79"/>
  <c r="W22" i="79"/>
  <c r="W21" i="79"/>
  <c r="N17" i="81"/>
  <c r="N15" i="81"/>
  <c r="N13" i="81"/>
  <c r="G5" i="81"/>
  <c r="F245" i="47" s="1"/>
  <c r="E28" i="85"/>
  <c r="D28" i="85"/>
  <c r="G71" i="81"/>
  <c r="N70" i="81"/>
  <c r="M70" i="81"/>
  <c r="L70" i="81"/>
  <c r="K70" i="81"/>
  <c r="G68" i="81"/>
  <c r="N67" i="81"/>
  <c r="M67" i="81"/>
  <c r="L67" i="81"/>
  <c r="K67" i="81"/>
  <c r="N63" i="81"/>
  <c r="M63" i="81"/>
  <c r="L63" i="81"/>
  <c r="K63" i="81"/>
  <c r="N61" i="81"/>
  <c r="M61" i="81"/>
  <c r="L61" i="81"/>
  <c r="K61" i="81"/>
  <c r="N59" i="81"/>
  <c r="M59" i="81"/>
  <c r="L59" i="81"/>
  <c r="K59" i="81"/>
  <c r="N55" i="81"/>
  <c r="M55" i="81"/>
  <c r="L55" i="81"/>
  <c r="K55" i="81"/>
  <c r="N53" i="81"/>
  <c r="M53" i="81"/>
  <c r="L53" i="81"/>
  <c r="K53" i="81"/>
  <c r="N49" i="81"/>
  <c r="M49" i="81"/>
  <c r="L49" i="81"/>
  <c r="K49" i="81"/>
  <c r="N47" i="81"/>
  <c r="M47" i="81"/>
  <c r="L47" i="81"/>
  <c r="K47" i="81"/>
  <c r="N45" i="81"/>
  <c r="M45" i="81"/>
  <c r="L45" i="81"/>
  <c r="K45" i="81"/>
  <c r="N43" i="81"/>
  <c r="M43" i="81"/>
  <c r="L43" i="81"/>
  <c r="K43" i="81"/>
  <c r="N41" i="81"/>
  <c r="M41" i="81"/>
  <c r="L41" i="81"/>
  <c r="K41" i="81"/>
  <c r="N37" i="81"/>
  <c r="M37" i="81"/>
  <c r="L37" i="81"/>
  <c r="K37" i="81"/>
  <c r="N35" i="81"/>
  <c r="M35" i="81"/>
  <c r="L35" i="81"/>
  <c r="K35" i="81"/>
  <c r="N33" i="81"/>
  <c r="M33" i="81"/>
  <c r="L33" i="81"/>
  <c r="K33" i="81"/>
  <c r="N31" i="81"/>
  <c r="M31" i="81"/>
  <c r="L31" i="81"/>
  <c r="K31" i="81"/>
  <c r="N29" i="81"/>
  <c r="M29" i="81"/>
  <c r="L29" i="81"/>
  <c r="K29" i="81"/>
  <c r="N27" i="81"/>
  <c r="M27" i="81"/>
  <c r="L27" i="81"/>
  <c r="K27" i="81"/>
  <c r="N25" i="81"/>
  <c r="M25" i="81"/>
  <c r="L25" i="81"/>
  <c r="K25" i="81"/>
  <c r="N23" i="81"/>
  <c r="M23" i="81"/>
  <c r="L23" i="81"/>
  <c r="K23" i="81"/>
  <c r="N19" i="81"/>
  <c r="M19" i="81"/>
  <c r="L19" i="81"/>
  <c r="K19" i="81"/>
  <c r="M17" i="81"/>
  <c r="L17" i="81"/>
  <c r="K17" i="81"/>
  <c r="M15" i="81"/>
  <c r="L15" i="81"/>
  <c r="K15" i="81"/>
  <c r="M13" i="81"/>
  <c r="L13" i="81"/>
  <c r="K13" i="81"/>
  <c r="N8" i="81"/>
  <c r="G59" i="81" s="1"/>
  <c r="G17" i="80"/>
  <c r="N16" i="80"/>
  <c r="M16" i="80"/>
  <c r="L16" i="80"/>
  <c r="K16" i="80"/>
  <c r="G14" i="80"/>
  <c r="N13" i="80"/>
  <c r="M13" i="80"/>
  <c r="L13" i="80"/>
  <c r="K13" i="80"/>
  <c r="N8" i="80"/>
  <c r="G40" i="79"/>
  <c r="G39" i="79"/>
  <c r="C39" i="79"/>
  <c r="W38" i="79"/>
  <c r="V38" i="79"/>
  <c r="S38" i="79"/>
  <c r="R38" i="79"/>
  <c r="Q38" i="79"/>
  <c r="W37" i="79"/>
  <c r="V37" i="79"/>
  <c r="S37" i="79"/>
  <c r="R37" i="79"/>
  <c r="Q37" i="79"/>
  <c r="E35" i="79"/>
  <c r="C33" i="79"/>
  <c r="S32" i="79"/>
  <c r="R32" i="79"/>
  <c r="Q32" i="79"/>
  <c r="S31" i="79"/>
  <c r="R31" i="79"/>
  <c r="Q31" i="79"/>
  <c r="S30" i="79"/>
  <c r="R30" i="79"/>
  <c r="Q30" i="79"/>
  <c r="C28" i="79"/>
  <c r="S27" i="79"/>
  <c r="R27" i="79"/>
  <c r="Q27" i="79"/>
  <c r="S26" i="79"/>
  <c r="R26" i="79"/>
  <c r="Q26" i="79"/>
  <c r="S25" i="79"/>
  <c r="R25" i="79"/>
  <c r="Q25" i="79"/>
  <c r="G25" i="79"/>
  <c r="G26" i="79" s="1"/>
  <c r="H21" i="79" s="1"/>
  <c r="W24" i="79"/>
  <c r="V24" i="79"/>
  <c r="S24" i="79"/>
  <c r="R24" i="79"/>
  <c r="Q24" i="79"/>
  <c r="V23" i="79"/>
  <c r="S23" i="79"/>
  <c r="R23" i="79"/>
  <c r="Q23" i="79"/>
  <c r="V22" i="79"/>
  <c r="S22" i="79"/>
  <c r="R22" i="79"/>
  <c r="Q22" i="79"/>
  <c r="V21" i="79"/>
  <c r="W20" i="79"/>
  <c r="V20" i="79"/>
  <c r="C20" i="79"/>
  <c r="W19" i="79"/>
  <c r="V19" i="79"/>
  <c r="S19" i="79"/>
  <c r="R19" i="79"/>
  <c r="Q19" i="79"/>
  <c r="W18" i="79"/>
  <c r="V18" i="79"/>
  <c r="S18" i="79"/>
  <c r="R18" i="79"/>
  <c r="Q18" i="79"/>
  <c r="W17" i="79"/>
  <c r="V17" i="79"/>
  <c r="S17" i="79"/>
  <c r="R17" i="79"/>
  <c r="Q17" i="79"/>
  <c r="W16" i="79"/>
  <c r="V16" i="79"/>
  <c r="S16" i="79"/>
  <c r="R16" i="79"/>
  <c r="H28" i="79" s="1"/>
  <c r="Q16" i="79"/>
  <c r="E14" i="79"/>
  <c r="G12" i="79"/>
  <c r="G13" i="79" s="1"/>
  <c r="W11" i="79"/>
  <c r="V11" i="79"/>
  <c r="C11" i="79"/>
  <c r="C12" i="79" s="1"/>
  <c r="H16" i="79" s="1"/>
  <c r="W10" i="79"/>
  <c r="V10" i="79"/>
  <c r="S10" i="79"/>
  <c r="R10" i="79"/>
  <c r="Q10" i="79"/>
  <c r="W9" i="79"/>
  <c r="V9" i="79"/>
  <c r="S9" i="79"/>
  <c r="R9" i="79"/>
  <c r="H27" i="79" s="1"/>
  <c r="Q9" i="79"/>
  <c r="E7" i="79"/>
  <c r="C17" i="78"/>
  <c r="R16" i="78"/>
  <c r="Q16" i="78"/>
  <c r="R15" i="78"/>
  <c r="Q15" i="78"/>
  <c r="C13" i="78"/>
  <c r="R12" i="78"/>
  <c r="Q12" i="78"/>
  <c r="R11" i="78"/>
  <c r="Q11" i="78"/>
  <c r="G11" i="78"/>
  <c r="G19" i="78" s="1"/>
  <c r="E11" i="78"/>
  <c r="R10" i="78"/>
  <c r="Q10" i="78"/>
  <c r="G10" i="78"/>
  <c r="W9" i="78"/>
  <c r="V9" i="78"/>
  <c r="R9" i="78"/>
  <c r="Q9" i="78"/>
  <c r="K56" i="47"/>
  <c r="C22" i="63"/>
  <c r="C23" i="63"/>
  <c r="C24" i="63"/>
  <c r="C15" i="63"/>
  <c r="C16" i="63"/>
  <c r="C17" i="63"/>
  <c r="C8" i="63"/>
  <c r="C9" i="63"/>
  <c r="C10" i="63"/>
  <c r="H78" i="87" a="1"/>
  <c r="H78" i="87" s="1"/>
  <c r="U8" i="43"/>
  <c r="V8" i="43"/>
  <c r="U9" i="43"/>
  <c r="V9" i="43"/>
  <c r="U10" i="43"/>
  <c r="V10" i="43"/>
  <c r="U11" i="43"/>
  <c r="V11" i="43"/>
  <c r="U12" i="43"/>
  <c r="V12" i="43"/>
  <c r="U13" i="43"/>
  <c r="V13" i="43"/>
  <c r="U14" i="43"/>
  <c r="V14" i="43"/>
  <c r="U15" i="43"/>
  <c r="V15" i="43"/>
  <c r="U16" i="43"/>
  <c r="V16" i="43"/>
  <c r="U17" i="43"/>
  <c r="V17" i="43"/>
  <c r="U18" i="43"/>
  <c r="V18" i="43"/>
  <c r="U19" i="43"/>
  <c r="V19" i="43"/>
  <c r="U20" i="43"/>
  <c r="V20" i="43"/>
  <c r="U21" i="43"/>
  <c r="V21" i="43"/>
  <c r="U22" i="43"/>
  <c r="V22" i="43"/>
  <c r="U23" i="43"/>
  <c r="V23" i="43"/>
  <c r="U24" i="43"/>
  <c r="V24" i="43"/>
  <c r="U25" i="43"/>
  <c r="V25" i="43"/>
  <c r="U26" i="43"/>
  <c r="V26" i="43"/>
  <c r="U27" i="43"/>
  <c r="V27" i="43"/>
  <c r="U28" i="43"/>
  <c r="V28" i="43"/>
  <c r="U29" i="43"/>
  <c r="V29" i="43"/>
  <c r="U30" i="43"/>
  <c r="V30" i="43"/>
  <c r="U31" i="43"/>
  <c r="V31" i="43"/>
  <c r="U32" i="43"/>
  <c r="V32" i="43"/>
  <c r="U33" i="43"/>
  <c r="V33" i="43"/>
  <c r="U34" i="43"/>
  <c r="V34" i="43"/>
  <c r="U35" i="43"/>
  <c r="V35" i="43"/>
  <c r="A14" i="71"/>
  <c r="K252" i="89"/>
  <c r="F201" i="89"/>
  <c r="I198" i="89"/>
  <c r="H198" i="89"/>
  <c r="I196" i="89"/>
  <c r="H196" i="89"/>
  <c r="I193" i="89"/>
  <c r="I192" i="89"/>
  <c r="I191" i="89"/>
  <c r="H191" i="89"/>
  <c r="I189" i="89"/>
  <c r="I188" i="89"/>
  <c r="I184" i="89"/>
  <c r="I183" i="89"/>
  <c r="I182" i="89"/>
  <c r="I178" i="89"/>
  <c r="I177" i="89"/>
  <c r="I176" i="89"/>
  <c r="J172" i="89"/>
  <c r="H172" i="89"/>
  <c r="I169" i="89"/>
  <c r="J166" i="89"/>
  <c r="H166" i="89"/>
  <c r="J165" i="89"/>
  <c r="H165" i="89"/>
  <c r="J164" i="89"/>
  <c r="H164" i="89"/>
  <c r="J163" i="89"/>
  <c r="H163" i="89"/>
  <c r="J162" i="89"/>
  <c r="H162" i="89"/>
  <c r="I159" i="89"/>
  <c r="G159" i="89"/>
  <c r="I158" i="89"/>
  <c r="G158" i="89"/>
  <c r="I157" i="89"/>
  <c r="G157" i="89"/>
  <c r="I156" i="89"/>
  <c r="G156" i="89"/>
  <c r="I155" i="89"/>
  <c r="G155" i="89"/>
  <c r="I154" i="89"/>
  <c r="G154" i="89"/>
  <c r="I153" i="89"/>
  <c r="G153" i="89"/>
  <c r="I152" i="89"/>
  <c r="G152" i="89"/>
  <c r="I151" i="89"/>
  <c r="G151" i="89"/>
  <c r="F148" i="89"/>
  <c r="I147" i="89"/>
  <c r="G147" i="89"/>
  <c r="I146" i="89"/>
  <c r="G146" i="89"/>
  <c r="I145" i="89"/>
  <c r="G145" i="89"/>
  <c r="I144" i="89"/>
  <c r="G144" i="89"/>
  <c r="I143" i="89"/>
  <c r="G143" i="89"/>
  <c r="I142" i="89"/>
  <c r="G142" i="89"/>
  <c r="I141" i="89"/>
  <c r="G141" i="89"/>
  <c r="I140" i="89"/>
  <c r="G140" i="89"/>
  <c r="I139" i="89"/>
  <c r="G139" i="89"/>
  <c r="I138" i="89"/>
  <c r="G138" i="89"/>
  <c r="I134" i="89"/>
  <c r="H134" i="89" s="1"/>
  <c r="I131" i="89"/>
  <c r="H131" i="89" s="1"/>
  <c r="I128" i="89"/>
  <c r="G128" i="89"/>
  <c r="I122" i="89"/>
  <c r="G122" i="89" s="1"/>
  <c r="I113" i="89"/>
  <c r="G113" i="89"/>
  <c r="I110" i="89"/>
  <c r="G110" i="89"/>
  <c r="I107" i="89"/>
  <c r="G107" i="89"/>
  <c r="J64" i="89"/>
  <c r="G61" i="89"/>
  <c r="G58" i="89"/>
  <c r="G55" i="89"/>
  <c r="J52" i="89"/>
  <c r="H52" i="89"/>
  <c r="J49" i="89"/>
  <c r="H49" i="89"/>
  <c r="J47" i="89"/>
  <c r="H47" i="89"/>
  <c r="I44" i="89"/>
  <c r="G44" i="89"/>
  <c r="J34" i="89"/>
  <c r="H34" i="89"/>
  <c r="J32" i="89"/>
  <c r="H32" i="89"/>
  <c r="J22" i="89"/>
  <c r="H22" i="89"/>
  <c r="J20" i="89"/>
  <c r="H20" i="89"/>
  <c r="I18" i="89"/>
  <c r="H18" i="89" s="1"/>
  <c r="J11" i="89"/>
  <c r="H11" i="89"/>
  <c r="I8" i="89"/>
  <c r="G8" i="89"/>
  <c r="I6" i="89"/>
  <c r="I251" i="89" s="1"/>
  <c r="C19" i="63" s="1"/>
  <c r="G6" i="89"/>
  <c r="K252" i="88"/>
  <c r="F201" i="88"/>
  <c r="I198" i="88"/>
  <c r="H198" i="88"/>
  <c r="I196" i="88"/>
  <c r="H196" i="88"/>
  <c r="I193" i="88"/>
  <c r="I192" i="88"/>
  <c r="I191" i="88"/>
  <c r="H191" i="88"/>
  <c r="I189" i="88"/>
  <c r="I188" i="88"/>
  <c r="I184" i="88"/>
  <c r="I183" i="88"/>
  <c r="I182" i="88"/>
  <c r="I178" i="88"/>
  <c r="I177" i="88"/>
  <c r="I176" i="88"/>
  <c r="J172" i="88"/>
  <c r="H172" i="88"/>
  <c r="I169" i="88"/>
  <c r="J166" i="88"/>
  <c r="H166" i="88"/>
  <c r="J165" i="88"/>
  <c r="H165" i="88"/>
  <c r="J164" i="88"/>
  <c r="H164" i="88"/>
  <c r="J163" i="88"/>
  <c r="H163" i="88"/>
  <c r="J162" i="88"/>
  <c r="H162" i="88"/>
  <c r="I159" i="88"/>
  <c r="G159" i="88"/>
  <c r="I158" i="88"/>
  <c r="G158" i="88"/>
  <c r="I157" i="88"/>
  <c r="G157" i="88"/>
  <c r="I156" i="88"/>
  <c r="G156" i="88"/>
  <c r="I155" i="88"/>
  <c r="G155" i="88"/>
  <c r="I154" i="88"/>
  <c r="G154" i="88"/>
  <c r="I153" i="88"/>
  <c r="G153" i="88"/>
  <c r="I152" i="88"/>
  <c r="G152" i="88"/>
  <c r="I151" i="88"/>
  <c r="G151" i="88"/>
  <c r="F148" i="88"/>
  <c r="I147" i="88"/>
  <c r="G147" i="88"/>
  <c r="I146" i="88"/>
  <c r="G146" i="88"/>
  <c r="I145" i="88"/>
  <c r="G145" i="88"/>
  <c r="I144" i="88"/>
  <c r="G144" i="88"/>
  <c r="I143" i="88"/>
  <c r="G143" i="88"/>
  <c r="I142" i="88"/>
  <c r="I251" i="88" s="1"/>
  <c r="C12" i="63" s="1"/>
  <c r="G142" i="88"/>
  <c r="I141" i="88"/>
  <c r="G141" i="88"/>
  <c r="I140" i="88"/>
  <c r="G140" i="88"/>
  <c r="I139" i="88"/>
  <c r="G139" i="88"/>
  <c r="I138" i="88"/>
  <c r="G138" i="88"/>
  <c r="I134" i="88"/>
  <c r="H134" i="88" s="1"/>
  <c r="I131" i="88"/>
  <c r="H131" i="88" s="1"/>
  <c r="I128" i="88"/>
  <c r="G128" i="88"/>
  <c r="I122" i="88"/>
  <c r="G122" i="88"/>
  <c r="H122" i="88"/>
  <c r="I113" i="88"/>
  <c r="G113" i="88"/>
  <c r="I110" i="88"/>
  <c r="G110" i="88"/>
  <c r="I107" i="88"/>
  <c r="G107" i="88"/>
  <c r="J104" i="88"/>
  <c r="H104" i="88"/>
  <c r="J102" i="88"/>
  <c r="H102" i="88"/>
  <c r="J100" i="88"/>
  <c r="H100" i="88"/>
  <c r="J98" i="88"/>
  <c r="H98" i="88"/>
  <c r="J96" i="88"/>
  <c r="H96" i="88"/>
  <c r="J94" i="88"/>
  <c r="H94" i="88"/>
  <c r="J92" i="88"/>
  <c r="H92" i="88"/>
  <c r="J90" i="88"/>
  <c r="H90" i="88"/>
  <c r="J88" i="88"/>
  <c r="H88" i="88"/>
  <c r="J86" i="88"/>
  <c r="H86" i="88"/>
  <c r="J84" i="88"/>
  <c r="H84" i="88"/>
  <c r="J64" i="88"/>
  <c r="G61" i="88"/>
  <c r="G58" i="88"/>
  <c r="G55" i="88"/>
  <c r="J52" i="88"/>
  <c r="H52" i="88"/>
  <c r="J49" i="88"/>
  <c r="H49" i="88"/>
  <c r="J47" i="88"/>
  <c r="H47" i="88"/>
  <c r="I44" i="88"/>
  <c r="G44" i="88"/>
  <c r="J34" i="88"/>
  <c r="H34" i="88"/>
  <c r="J32" i="88"/>
  <c r="H32" i="88"/>
  <c r="J22" i="88"/>
  <c r="H22" i="88"/>
  <c r="J20" i="88"/>
  <c r="H20" i="88"/>
  <c r="I18" i="88"/>
  <c r="J252" i="88" s="1"/>
  <c r="I252" i="88" s="1"/>
  <c r="J11" i="88"/>
  <c r="H11" i="88"/>
  <c r="N252" i="87"/>
  <c r="M252" i="87"/>
  <c r="L252" i="87"/>
  <c r="K252" i="87"/>
  <c r="F201" i="87"/>
  <c r="I198" i="87"/>
  <c r="H198" i="87"/>
  <c r="I196" i="87"/>
  <c r="H196" i="87"/>
  <c r="I193" i="87"/>
  <c r="I192" i="87"/>
  <c r="I191" i="87"/>
  <c r="H191" i="87"/>
  <c r="I189" i="87"/>
  <c r="I188" i="87"/>
  <c r="I184" i="87"/>
  <c r="I183" i="87"/>
  <c r="I182" i="87"/>
  <c r="I178" i="87"/>
  <c r="I177" i="87"/>
  <c r="I176" i="87"/>
  <c r="J172" i="87"/>
  <c r="H172" i="87"/>
  <c r="I169" i="87"/>
  <c r="J166" i="87"/>
  <c r="H166" i="87"/>
  <c r="J165" i="87"/>
  <c r="H165" i="87"/>
  <c r="J164" i="87"/>
  <c r="H164" i="87"/>
  <c r="J163" i="87"/>
  <c r="H163" i="87"/>
  <c r="J162" i="87"/>
  <c r="H162" i="87"/>
  <c r="I159" i="87"/>
  <c r="G159" i="87"/>
  <c r="I158" i="87"/>
  <c r="G158" i="87"/>
  <c r="I157" i="87"/>
  <c r="G157" i="87"/>
  <c r="I156" i="87"/>
  <c r="G156" i="87"/>
  <c r="I155" i="87"/>
  <c r="I251" i="87" s="1"/>
  <c r="G155" i="87"/>
  <c r="I154" i="87"/>
  <c r="G154" i="87"/>
  <c r="I153" i="87"/>
  <c r="G153" i="87"/>
  <c r="I152" i="87"/>
  <c r="G152" i="87"/>
  <c r="I151" i="87"/>
  <c r="G151" i="87"/>
  <c r="F148" i="87"/>
  <c r="A29" i="63" s="1"/>
  <c r="I147" i="87"/>
  <c r="G147" i="87"/>
  <c r="I146" i="87"/>
  <c r="G146" i="87"/>
  <c r="I145" i="87"/>
  <c r="G145" i="87"/>
  <c r="I144" i="87"/>
  <c r="G144" i="87"/>
  <c r="I143" i="87"/>
  <c r="G143" i="87"/>
  <c r="I142" i="87"/>
  <c r="G142" i="87"/>
  <c r="I141" i="87"/>
  <c r="G141" i="87"/>
  <c r="I140" i="87"/>
  <c r="I139" i="87"/>
  <c r="G139" i="87"/>
  <c r="I138" i="87"/>
  <c r="G138" i="87"/>
  <c r="I134" i="87"/>
  <c r="H134" i="87"/>
  <c r="G134" i="87"/>
  <c r="I131" i="87"/>
  <c r="H131" i="87" s="1"/>
  <c r="I128" i="87"/>
  <c r="G128" i="87"/>
  <c r="J125" i="87"/>
  <c r="H125" i="87"/>
  <c r="J119" i="87"/>
  <c r="H119" i="87"/>
  <c r="J116" i="87"/>
  <c r="H116" i="87"/>
  <c r="I113" i="87"/>
  <c r="G113" i="87"/>
  <c r="I110" i="87"/>
  <c r="G110" i="87"/>
  <c r="I107" i="87"/>
  <c r="G107" i="87"/>
  <c r="I82" i="87"/>
  <c r="H82" i="87"/>
  <c r="J79" i="87"/>
  <c r="H79" i="87"/>
  <c r="I76" i="87"/>
  <c r="H76" i="87"/>
  <c r="J73" i="87"/>
  <c r="H73" i="87"/>
  <c r="I70" i="87"/>
  <c r="G70" i="87"/>
  <c r="I67" i="87"/>
  <c r="G67" i="87"/>
  <c r="J64" i="87"/>
  <c r="H64" i="87"/>
  <c r="G61" i="87"/>
  <c r="G58" i="87"/>
  <c r="G55" i="87"/>
  <c r="J52" i="87"/>
  <c r="H52" i="87"/>
  <c r="J49" i="87"/>
  <c r="H49" i="87"/>
  <c r="J47" i="87"/>
  <c r="H47" i="87"/>
  <c r="I44" i="87"/>
  <c r="G44" i="87"/>
  <c r="I42" i="87"/>
  <c r="G42" i="87"/>
  <c r="J34" i="87"/>
  <c r="H34" i="87"/>
  <c r="J32" i="87"/>
  <c r="H32" i="87"/>
  <c r="J26" i="87"/>
  <c r="H26" i="87"/>
  <c r="J25" i="87"/>
  <c r="H25" i="87"/>
  <c r="J22" i="87"/>
  <c r="H22" i="87"/>
  <c r="J20" i="87"/>
  <c r="H20" i="87"/>
  <c r="I18" i="87"/>
  <c r="H18" i="87" s="1"/>
  <c r="J14" i="87"/>
  <c r="H14" i="87"/>
  <c r="H11" i="87"/>
  <c r="AU36" i="43"/>
  <c r="AV36" i="43"/>
  <c r="C13" i="53"/>
  <c r="C14" i="53"/>
  <c r="C15" i="53"/>
  <c r="C16" i="53"/>
  <c r="C12" i="53"/>
  <c r="A13" i="53"/>
  <c r="A14" i="53"/>
  <c r="A15" i="53"/>
  <c r="A16" i="53"/>
  <c r="A12" i="53"/>
  <c r="AJ26" i="86"/>
  <c r="AI26" i="86"/>
  <c r="AH26" i="86"/>
  <c r="AG26" i="86"/>
  <c r="AF26" i="86"/>
  <c r="AE26" i="86"/>
  <c r="AD26" i="86"/>
  <c r="AC26" i="86"/>
  <c r="AB26" i="86"/>
  <c r="AA26" i="86"/>
  <c r="L25" i="86"/>
  <c r="K25" i="86"/>
  <c r="J25" i="86"/>
  <c r="I25" i="86"/>
  <c r="H25" i="86"/>
  <c r="G25" i="86"/>
  <c r="F25" i="86"/>
  <c r="E25" i="86"/>
  <c r="D25" i="86"/>
  <c r="C25" i="86"/>
  <c r="L24" i="86"/>
  <c r="K24" i="86"/>
  <c r="J24" i="86"/>
  <c r="I24" i="86"/>
  <c r="H24" i="86"/>
  <c r="G24" i="86"/>
  <c r="F24" i="86"/>
  <c r="E24" i="86"/>
  <c r="D24" i="86"/>
  <c r="C24" i="86"/>
  <c r="L23" i="86"/>
  <c r="K23" i="86"/>
  <c r="J23" i="86"/>
  <c r="I23" i="86"/>
  <c r="H23" i="86"/>
  <c r="G23" i="86"/>
  <c r="F23" i="86"/>
  <c r="E23" i="86"/>
  <c r="D23" i="86"/>
  <c r="C23" i="86"/>
  <c r="L22" i="86"/>
  <c r="K22" i="86"/>
  <c r="K26" i="86" s="1"/>
  <c r="J22" i="86"/>
  <c r="I22" i="86"/>
  <c r="H22" i="86"/>
  <c r="G22" i="86"/>
  <c r="F22" i="86"/>
  <c r="E22" i="86"/>
  <c r="D22" i="86"/>
  <c r="C22" i="86"/>
  <c r="L21" i="86"/>
  <c r="K21" i="86"/>
  <c r="J21" i="86"/>
  <c r="I21" i="86"/>
  <c r="H21" i="86"/>
  <c r="G21" i="86"/>
  <c r="G26" i="86" s="1"/>
  <c r="F21" i="86"/>
  <c r="E21" i="86"/>
  <c r="D21" i="86"/>
  <c r="C21" i="86"/>
  <c r="AH11" i="86"/>
  <c r="AG11" i="86"/>
  <c r="AF11" i="86"/>
  <c r="AE11" i="86"/>
  <c r="AD11" i="86"/>
  <c r="AC11" i="86"/>
  <c r="AB11" i="86"/>
  <c r="AA11" i="86"/>
  <c r="J10" i="86"/>
  <c r="I10" i="86"/>
  <c r="H10" i="86"/>
  <c r="G10" i="86"/>
  <c r="F10" i="86"/>
  <c r="E10" i="86"/>
  <c r="D10" i="86"/>
  <c r="D10" i="71" s="1"/>
  <c r="C10" i="86"/>
  <c r="C10" i="71" s="1"/>
  <c r="J9" i="86"/>
  <c r="I9" i="86"/>
  <c r="H9" i="86"/>
  <c r="G9" i="86"/>
  <c r="F9" i="86"/>
  <c r="E9" i="86"/>
  <c r="D9" i="86"/>
  <c r="D9" i="71" s="1"/>
  <c r="C9" i="86"/>
  <c r="C9" i="71" s="1"/>
  <c r="J8" i="86"/>
  <c r="I8" i="86"/>
  <c r="H8" i="86"/>
  <c r="G8" i="86"/>
  <c r="F8" i="86"/>
  <c r="E8" i="86"/>
  <c r="D8" i="86"/>
  <c r="D8" i="71" s="1"/>
  <c r="C8" i="86"/>
  <c r="C8" i="71" s="1"/>
  <c r="J7" i="86"/>
  <c r="I7" i="86"/>
  <c r="H7" i="86"/>
  <c r="G7" i="86"/>
  <c r="F7" i="86"/>
  <c r="E7" i="86"/>
  <c r="D7" i="86"/>
  <c r="D7" i="71" s="1"/>
  <c r="C7" i="86"/>
  <c r="C7" i="71" s="1"/>
  <c r="J6" i="86"/>
  <c r="J11" i="86" s="1"/>
  <c r="I6" i="86"/>
  <c r="I11" i="86"/>
  <c r="B16" i="35" s="1"/>
  <c r="H6" i="86"/>
  <c r="H11" i="86" s="1"/>
  <c r="G6" i="86"/>
  <c r="F6" i="86"/>
  <c r="E6" i="86"/>
  <c r="E11" i="86" s="1"/>
  <c r="D6" i="86"/>
  <c r="D6" i="71" s="1"/>
  <c r="C6" i="86"/>
  <c r="C6" i="71" s="1"/>
  <c r="B25" i="66"/>
  <c r="B26" i="66"/>
  <c r="B9" i="66"/>
  <c r="B7" i="66"/>
  <c r="D17" i="53"/>
  <c r="C6" i="2"/>
  <c r="D6" i="2"/>
  <c r="E6" i="2"/>
  <c r="F6" i="2"/>
  <c r="G6" i="2"/>
  <c r="H6" i="2"/>
  <c r="I6" i="2"/>
  <c r="J6" i="2"/>
  <c r="A6" i="74"/>
  <c r="B6" i="74"/>
  <c r="F6" i="74"/>
  <c r="A6" i="64"/>
  <c r="B6" i="64"/>
  <c r="A6" i="48"/>
  <c r="B6" i="48"/>
  <c r="E6" i="48"/>
  <c r="A6" i="45"/>
  <c r="B6" i="45"/>
  <c r="A6" i="44"/>
  <c r="B6" i="44"/>
  <c r="A6" i="29"/>
  <c r="B6" i="29"/>
  <c r="A6" i="33"/>
  <c r="B6" i="33"/>
  <c r="A8" i="32"/>
  <c r="B8" i="32"/>
  <c r="D8" i="32"/>
  <c r="E8" i="32"/>
  <c r="F8" i="32"/>
  <c r="G8" i="32"/>
  <c r="H8" i="32"/>
  <c r="I8" i="32"/>
  <c r="J8" i="32"/>
  <c r="P8" i="32"/>
  <c r="Q8" i="32"/>
  <c r="R8" i="32"/>
  <c r="R36" i="32" s="1"/>
  <c r="S8" i="32"/>
  <c r="T8" i="32"/>
  <c r="U8" i="32"/>
  <c r="V8" i="32"/>
  <c r="A7" i="30"/>
  <c r="B7" i="30"/>
  <c r="A6" i="31"/>
  <c r="B6" i="31"/>
  <c r="A6" i="58"/>
  <c r="B6" i="58"/>
  <c r="A6" i="14"/>
  <c r="B6" i="14"/>
  <c r="C6" i="14"/>
  <c r="D6" i="14"/>
  <c r="E6" i="14"/>
  <c r="F6" i="14"/>
  <c r="G6" i="14"/>
  <c r="J6" i="14"/>
  <c r="H6" i="14"/>
  <c r="I6" i="14"/>
  <c r="K6" i="14"/>
  <c r="L6" i="14"/>
  <c r="M6" i="14"/>
  <c r="N6" i="14"/>
  <c r="O6" i="14"/>
  <c r="P6" i="14"/>
  <c r="Q6" i="14"/>
  <c r="R6" i="14"/>
  <c r="S6" i="14"/>
  <c r="T6" i="14"/>
  <c r="U6" i="14"/>
  <c r="D6" i="64" s="1"/>
  <c r="V6" i="14"/>
  <c r="G6" i="64" s="1"/>
  <c r="W6" i="14"/>
  <c r="AV6" i="14"/>
  <c r="AW6" i="14"/>
  <c r="A6" i="15"/>
  <c r="B6" i="15"/>
  <c r="C6" i="15"/>
  <c r="F6" i="44" s="1"/>
  <c r="D6" i="15"/>
  <c r="E6" i="15"/>
  <c r="F6" i="15"/>
  <c r="G6" i="15"/>
  <c r="H6" i="15"/>
  <c r="I6" i="15"/>
  <c r="AH6" i="15"/>
  <c r="AI6" i="15"/>
  <c r="A8" i="43"/>
  <c r="B8" i="43"/>
  <c r="C8" i="43"/>
  <c r="D8" i="43"/>
  <c r="E8" i="43"/>
  <c r="F8" i="43"/>
  <c r="I8" i="43"/>
  <c r="J8" i="43"/>
  <c r="K8" i="43"/>
  <c r="L8" i="43"/>
  <c r="M8" i="43"/>
  <c r="N8" i="43"/>
  <c r="O8" i="43"/>
  <c r="P8" i="43"/>
  <c r="Q8" i="43"/>
  <c r="R8" i="43"/>
  <c r="S8" i="43"/>
  <c r="T8" i="43"/>
  <c r="W8" i="43"/>
  <c r="X8" i="43"/>
  <c r="BA8" i="43"/>
  <c r="A6" i="18"/>
  <c r="B6" i="18"/>
  <c r="AU6" i="18"/>
  <c r="L8" i="32" s="1"/>
  <c r="AV6" i="18"/>
  <c r="X8" i="32" s="1"/>
  <c r="A6" i="4"/>
  <c r="B6" i="4"/>
  <c r="O6" i="4"/>
  <c r="F7" i="30" s="1"/>
  <c r="P6" i="4"/>
  <c r="K7" i="30" s="1"/>
  <c r="A6" i="5"/>
  <c r="B6" i="5"/>
  <c r="AA6" i="5"/>
  <c r="E7" i="30" s="1"/>
  <c r="AB6" i="5"/>
  <c r="J7" i="30" s="1"/>
  <c r="A10" i="5"/>
  <c r="B10" i="5"/>
  <c r="AA10" i="5"/>
  <c r="AB10" i="5"/>
  <c r="J11" i="30" s="1"/>
  <c r="A6" i="6"/>
  <c r="B6" i="6"/>
  <c r="W6" i="6"/>
  <c r="D7" i="30" s="1"/>
  <c r="X6" i="6"/>
  <c r="I7" i="30" s="1"/>
  <c r="A7" i="7"/>
  <c r="B7" i="7"/>
  <c r="U7" i="7"/>
  <c r="E6" i="31" s="1"/>
  <c r="V7" i="7"/>
  <c r="A7" i="8"/>
  <c r="B7" i="8"/>
  <c r="U7" i="8"/>
  <c r="V7" i="8"/>
  <c r="D6" i="44" s="1"/>
  <c r="C43" i="9"/>
  <c r="G6" i="48" s="1"/>
  <c r="A15" i="9"/>
  <c r="B15" i="9"/>
  <c r="C14" i="9" s="1"/>
  <c r="AE15" i="9"/>
  <c r="F6" i="48" s="1"/>
  <c r="A6" i="20"/>
  <c r="B6" i="20"/>
  <c r="AI6" i="2"/>
  <c r="AJ6" i="2"/>
  <c r="B5" i="65"/>
  <c r="J8" i="14"/>
  <c r="J9" i="14"/>
  <c r="J10" i="14"/>
  <c r="J11" i="14"/>
  <c r="J12" i="14"/>
  <c r="J13" i="14"/>
  <c r="J14" i="14"/>
  <c r="J15" i="14"/>
  <c r="J16" i="14"/>
  <c r="J17" i="14"/>
  <c r="J18" i="14"/>
  <c r="J19" i="14"/>
  <c r="J20" i="14"/>
  <c r="J21" i="14"/>
  <c r="J22" i="14"/>
  <c r="J23" i="14"/>
  <c r="J24" i="14"/>
  <c r="J25" i="14"/>
  <c r="J26" i="14"/>
  <c r="J27" i="14"/>
  <c r="J28" i="14"/>
  <c r="J29" i="14"/>
  <c r="J30" i="14"/>
  <c r="J31" i="14"/>
  <c r="J32" i="14"/>
  <c r="J33" i="14"/>
  <c r="J7" i="14"/>
  <c r="AH34" i="14"/>
  <c r="R7" i="14"/>
  <c r="R8" i="14"/>
  <c r="R9" i="14"/>
  <c r="R10" i="14"/>
  <c r="R11" i="14"/>
  <c r="R12" i="14"/>
  <c r="R13" i="14"/>
  <c r="R14" i="14"/>
  <c r="R15" i="14"/>
  <c r="R16" i="14"/>
  <c r="R17" i="14"/>
  <c r="R18" i="14"/>
  <c r="R19" i="14"/>
  <c r="R20" i="14"/>
  <c r="R21" i="14"/>
  <c r="R22" i="14"/>
  <c r="R23" i="14"/>
  <c r="R24" i="14"/>
  <c r="R25" i="14"/>
  <c r="R26" i="14"/>
  <c r="R27" i="14"/>
  <c r="R28" i="14"/>
  <c r="R29" i="14"/>
  <c r="R30" i="14"/>
  <c r="R31" i="14"/>
  <c r="R32" i="14"/>
  <c r="R33" i="14"/>
  <c r="AP34" i="14"/>
  <c r="AW8" i="14"/>
  <c r="AW9" i="14"/>
  <c r="AW10" i="14"/>
  <c r="AW11" i="14"/>
  <c r="AW12" i="14"/>
  <c r="AW13" i="14"/>
  <c r="AW14" i="14"/>
  <c r="AW15" i="14"/>
  <c r="AW16" i="14"/>
  <c r="AW17" i="14"/>
  <c r="AW18" i="14"/>
  <c r="AW19" i="14"/>
  <c r="AW20" i="14"/>
  <c r="AW21" i="14"/>
  <c r="AW22" i="14"/>
  <c r="AW23" i="14"/>
  <c r="AW24" i="14"/>
  <c r="AW25" i="14"/>
  <c r="AW26" i="14"/>
  <c r="AW27" i="14"/>
  <c r="AW28" i="14"/>
  <c r="AW29" i="14"/>
  <c r="AW30" i="14"/>
  <c r="AW31" i="14"/>
  <c r="AW32" i="14"/>
  <c r="AW33" i="14"/>
  <c r="BA10" i="43"/>
  <c r="BA11" i="43"/>
  <c r="BA12" i="43"/>
  <c r="BA13" i="43"/>
  <c r="BA14" i="43"/>
  <c r="BA15" i="43"/>
  <c r="BA16" i="43"/>
  <c r="BA17" i="43"/>
  <c r="BA18" i="43"/>
  <c r="BA19" i="43"/>
  <c r="BA20" i="43"/>
  <c r="BA21" i="43"/>
  <c r="BA22" i="43"/>
  <c r="BA23" i="43"/>
  <c r="BA24" i="43"/>
  <c r="BA25" i="43"/>
  <c r="BA26" i="43"/>
  <c r="BA27" i="43"/>
  <c r="BA28" i="43"/>
  <c r="BA29" i="43"/>
  <c r="BA30" i="43"/>
  <c r="BA31" i="43"/>
  <c r="BA32" i="43"/>
  <c r="BA33" i="43"/>
  <c r="BA34" i="43"/>
  <c r="BA35" i="43"/>
  <c r="Q34" i="4"/>
  <c r="Q35" i="4"/>
  <c r="Q36" i="4"/>
  <c r="Y34" i="6"/>
  <c r="Y35" i="6"/>
  <c r="Y36" i="6"/>
  <c r="B33" i="20"/>
  <c r="A33" i="20"/>
  <c r="B32" i="20"/>
  <c r="A32" i="20"/>
  <c r="B31" i="20"/>
  <c r="A31" i="20"/>
  <c r="B30" i="20"/>
  <c r="A30" i="20"/>
  <c r="B29" i="20"/>
  <c r="A29" i="20"/>
  <c r="B28" i="20"/>
  <c r="A28" i="20"/>
  <c r="B27" i="20"/>
  <c r="A27" i="20"/>
  <c r="B26" i="20"/>
  <c r="A26" i="20"/>
  <c r="B25" i="20"/>
  <c r="A25" i="20"/>
  <c r="B24" i="20"/>
  <c r="A24" i="20"/>
  <c r="B23" i="20"/>
  <c r="A23" i="20"/>
  <c r="B22" i="20"/>
  <c r="A22" i="20"/>
  <c r="B21" i="20"/>
  <c r="A21" i="20"/>
  <c r="B20" i="20"/>
  <c r="A20" i="20"/>
  <c r="B19" i="20"/>
  <c r="A19" i="20"/>
  <c r="B18" i="20"/>
  <c r="A18" i="20"/>
  <c r="B17" i="20"/>
  <c r="A17" i="20"/>
  <c r="B16" i="20"/>
  <c r="A16" i="20"/>
  <c r="B15" i="20"/>
  <c r="A15" i="20"/>
  <c r="B14" i="20"/>
  <c r="A14" i="20"/>
  <c r="B13" i="20"/>
  <c r="A13" i="20"/>
  <c r="B12" i="20"/>
  <c r="A12" i="20"/>
  <c r="B11" i="20"/>
  <c r="A11" i="20"/>
  <c r="B10" i="20"/>
  <c r="A10" i="20"/>
  <c r="B9" i="20"/>
  <c r="A9" i="20"/>
  <c r="B8" i="20"/>
  <c r="A8" i="20"/>
  <c r="A8" i="74"/>
  <c r="B8" i="74"/>
  <c r="A9" i="74"/>
  <c r="B9" i="74"/>
  <c r="A10" i="74"/>
  <c r="B10" i="74"/>
  <c r="A11" i="74"/>
  <c r="B11" i="74"/>
  <c r="A12" i="74"/>
  <c r="B12" i="74"/>
  <c r="A13" i="74"/>
  <c r="B13" i="74"/>
  <c r="A14" i="74"/>
  <c r="B14" i="74"/>
  <c r="A15" i="74"/>
  <c r="B15" i="74"/>
  <c r="A16" i="74"/>
  <c r="B16" i="74"/>
  <c r="A17" i="74"/>
  <c r="B17" i="74"/>
  <c r="A18" i="74"/>
  <c r="B18" i="74"/>
  <c r="A19" i="74"/>
  <c r="B19" i="74"/>
  <c r="A20" i="74"/>
  <c r="B20" i="74"/>
  <c r="A21" i="74"/>
  <c r="B21" i="74"/>
  <c r="A22" i="74"/>
  <c r="B22" i="74"/>
  <c r="A23" i="74"/>
  <c r="B23" i="74"/>
  <c r="A24" i="74"/>
  <c r="B24" i="74"/>
  <c r="A25" i="74"/>
  <c r="B25" i="74"/>
  <c r="A26" i="74"/>
  <c r="B26" i="74"/>
  <c r="A27" i="74"/>
  <c r="B27" i="74"/>
  <c r="A28" i="74"/>
  <c r="B28" i="74"/>
  <c r="A29" i="74"/>
  <c r="B29" i="74"/>
  <c r="A30" i="74"/>
  <c r="B30" i="74"/>
  <c r="A31" i="74"/>
  <c r="B31" i="74"/>
  <c r="A32" i="74"/>
  <c r="B32" i="74"/>
  <c r="A33" i="74"/>
  <c r="B33" i="74"/>
  <c r="A8" i="64"/>
  <c r="B8" i="64"/>
  <c r="A9" i="64"/>
  <c r="B9" i="64"/>
  <c r="A10" i="64"/>
  <c r="B10" i="64"/>
  <c r="A11" i="64"/>
  <c r="B11" i="64"/>
  <c r="A12" i="64"/>
  <c r="B12" i="64"/>
  <c r="A13" i="64"/>
  <c r="B13" i="64"/>
  <c r="A14" i="64"/>
  <c r="B14" i="64"/>
  <c r="A15" i="64"/>
  <c r="B15" i="64"/>
  <c r="A16" i="64"/>
  <c r="B16" i="64"/>
  <c r="A17" i="64"/>
  <c r="B17" i="64"/>
  <c r="A18" i="64"/>
  <c r="B18" i="64"/>
  <c r="A19" i="64"/>
  <c r="B19" i="64"/>
  <c r="A20" i="64"/>
  <c r="B20" i="64"/>
  <c r="A21" i="64"/>
  <c r="B21" i="64"/>
  <c r="A22" i="64"/>
  <c r="B22" i="64"/>
  <c r="A23" i="64"/>
  <c r="B23" i="64"/>
  <c r="A24" i="64"/>
  <c r="B24" i="64"/>
  <c r="A25" i="64"/>
  <c r="B25" i="64"/>
  <c r="A26" i="64"/>
  <c r="B26" i="64"/>
  <c r="A27" i="64"/>
  <c r="B27" i="64"/>
  <c r="A28" i="64"/>
  <c r="B28" i="64"/>
  <c r="A29" i="64"/>
  <c r="B29" i="64"/>
  <c r="A30" i="64"/>
  <c r="B30" i="64"/>
  <c r="A31" i="64"/>
  <c r="B31" i="64"/>
  <c r="A32" i="64"/>
  <c r="B32" i="64"/>
  <c r="A33" i="64"/>
  <c r="B33" i="64"/>
  <c r="A8" i="48"/>
  <c r="B8" i="48"/>
  <c r="A9" i="48"/>
  <c r="B9" i="48"/>
  <c r="A10" i="48"/>
  <c r="B10" i="48"/>
  <c r="A11" i="48"/>
  <c r="B11" i="48"/>
  <c r="A12" i="48"/>
  <c r="B12" i="48"/>
  <c r="A13" i="48"/>
  <c r="B13" i="48"/>
  <c r="A14" i="48"/>
  <c r="B14" i="48"/>
  <c r="A15" i="48"/>
  <c r="B15" i="48"/>
  <c r="A16" i="48"/>
  <c r="B16" i="48"/>
  <c r="A17" i="48"/>
  <c r="B17" i="48"/>
  <c r="A18" i="48"/>
  <c r="B18" i="48"/>
  <c r="A19" i="48"/>
  <c r="B19" i="48"/>
  <c r="A20" i="48"/>
  <c r="B20" i="48"/>
  <c r="A21" i="48"/>
  <c r="B21" i="48"/>
  <c r="A22" i="48"/>
  <c r="B22" i="48"/>
  <c r="A23" i="48"/>
  <c r="B23" i="48"/>
  <c r="A24" i="48"/>
  <c r="B24" i="48"/>
  <c r="A25" i="48"/>
  <c r="B25" i="48"/>
  <c r="A26" i="48"/>
  <c r="B26" i="48"/>
  <c r="A27" i="48"/>
  <c r="B27" i="48"/>
  <c r="A28" i="48"/>
  <c r="B28" i="48"/>
  <c r="A29" i="48"/>
  <c r="B29" i="48"/>
  <c r="A30" i="48"/>
  <c r="B30" i="48"/>
  <c r="A31" i="48"/>
  <c r="B31" i="48"/>
  <c r="A32" i="48"/>
  <c r="B32" i="48"/>
  <c r="A33" i="48"/>
  <c r="B33" i="48"/>
  <c r="A8" i="45"/>
  <c r="B8" i="45"/>
  <c r="A9" i="45"/>
  <c r="B9" i="45"/>
  <c r="A10" i="45"/>
  <c r="B10" i="45"/>
  <c r="A11" i="45"/>
  <c r="B11" i="45"/>
  <c r="A12" i="45"/>
  <c r="B12" i="45"/>
  <c r="A13" i="45"/>
  <c r="B13" i="45"/>
  <c r="A14" i="45"/>
  <c r="B14" i="45"/>
  <c r="A15" i="45"/>
  <c r="B15" i="45"/>
  <c r="A16" i="45"/>
  <c r="B16" i="45"/>
  <c r="A17" i="45"/>
  <c r="B17" i="45"/>
  <c r="A18" i="45"/>
  <c r="B18" i="45"/>
  <c r="A19" i="45"/>
  <c r="B19" i="45"/>
  <c r="A20" i="45"/>
  <c r="B20" i="45"/>
  <c r="A21" i="45"/>
  <c r="B21" i="45"/>
  <c r="A22" i="45"/>
  <c r="B22" i="45"/>
  <c r="A23" i="45"/>
  <c r="B23" i="45"/>
  <c r="A24" i="45"/>
  <c r="B24" i="45"/>
  <c r="A25" i="45"/>
  <c r="B25" i="45"/>
  <c r="A26" i="45"/>
  <c r="B26" i="45"/>
  <c r="A27" i="45"/>
  <c r="B27" i="45"/>
  <c r="A28" i="45"/>
  <c r="B28" i="45"/>
  <c r="A29" i="45"/>
  <c r="B29" i="45"/>
  <c r="A30" i="45"/>
  <c r="B30" i="45"/>
  <c r="A31" i="45"/>
  <c r="B31" i="45"/>
  <c r="A32" i="45"/>
  <c r="B32" i="45"/>
  <c r="A33" i="45"/>
  <c r="B33" i="45"/>
  <c r="A8" i="44"/>
  <c r="B8" i="44"/>
  <c r="A9" i="44"/>
  <c r="B9" i="44"/>
  <c r="A10" i="44"/>
  <c r="B10" i="44"/>
  <c r="A11" i="44"/>
  <c r="B11" i="44"/>
  <c r="A12" i="44"/>
  <c r="B12" i="44"/>
  <c r="A13" i="44"/>
  <c r="B13" i="44"/>
  <c r="A14" i="44"/>
  <c r="B14" i="44"/>
  <c r="A15" i="44"/>
  <c r="B15" i="44"/>
  <c r="A16" i="44"/>
  <c r="B16" i="44"/>
  <c r="A17" i="44"/>
  <c r="B17" i="44"/>
  <c r="A18" i="44"/>
  <c r="B18" i="44"/>
  <c r="A19" i="44"/>
  <c r="B19" i="44"/>
  <c r="A20" i="44"/>
  <c r="B20" i="44"/>
  <c r="A21" i="44"/>
  <c r="B21" i="44"/>
  <c r="A22" i="44"/>
  <c r="B22" i="44"/>
  <c r="A23" i="44"/>
  <c r="B23" i="44"/>
  <c r="A24" i="44"/>
  <c r="B24" i="44"/>
  <c r="A25" i="44"/>
  <c r="B25" i="44"/>
  <c r="A26" i="44"/>
  <c r="B26" i="44"/>
  <c r="A27" i="44"/>
  <c r="B27" i="44"/>
  <c r="A28" i="44"/>
  <c r="B28" i="44"/>
  <c r="A29" i="44"/>
  <c r="B29" i="44"/>
  <c r="A30" i="44"/>
  <c r="B30" i="44"/>
  <c r="A31" i="44"/>
  <c r="B31" i="44"/>
  <c r="A32" i="44"/>
  <c r="B32" i="44"/>
  <c r="A33" i="44"/>
  <c r="B33" i="44"/>
  <c r="A8" i="29"/>
  <c r="B8" i="29"/>
  <c r="A9" i="29"/>
  <c r="B9" i="29"/>
  <c r="A10" i="29"/>
  <c r="B10" i="29"/>
  <c r="A11" i="29"/>
  <c r="B11" i="29"/>
  <c r="A12" i="29"/>
  <c r="B12" i="29"/>
  <c r="A13" i="29"/>
  <c r="B13" i="29"/>
  <c r="A14" i="29"/>
  <c r="B14" i="29"/>
  <c r="A15" i="29"/>
  <c r="B15" i="29"/>
  <c r="A16" i="29"/>
  <c r="B16" i="29"/>
  <c r="A17" i="29"/>
  <c r="B17" i="29"/>
  <c r="A18" i="29"/>
  <c r="B18" i="29"/>
  <c r="A19" i="29"/>
  <c r="B19" i="29"/>
  <c r="A20" i="29"/>
  <c r="B20" i="29"/>
  <c r="A21" i="29"/>
  <c r="B21" i="29"/>
  <c r="A22" i="29"/>
  <c r="B22" i="29"/>
  <c r="A23" i="29"/>
  <c r="B23" i="29"/>
  <c r="A24" i="29"/>
  <c r="B24" i="29"/>
  <c r="A25" i="29"/>
  <c r="B25" i="29"/>
  <c r="A26" i="29"/>
  <c r="B26" i="29"/>
  <c r="A27" i="29"/>
  <c r="B27" i="29"/>
  <c r="A28" i="29"/>
  <c r="B28" i="29"/>
  <c r="A29" i="29"/>
  <c r="B29" i="29"/>
  <c r="A30" i="29"/>
  <c r="B30" i="29"/>
  <c r="A31" i="29"/>
  <c r="B31" i="29"/>
  <c r="A32" i="29"/>
  <c r="B32" i="29"/>
  <c r="A33" i="29"/>
  <c r="B33" i="29"/>
  <c r="A8" i="33"/>
  <c r="B8" i="33"/>
  <c r="A9" i="33"/>
  <c r="B9" i="33"/>
  <c r="A10" i="33"/>
  <c r="B10" i="33"/>
  <c r="A11" i="33"/>
  <c r="B11" i="33"/>
  <c r="A12" i="33"/>
  <c r="B12" i="33"/>
  <c r="A13" i="33"/>
  <c r="B13" i="33"/>
  <c r="A14" i="33"/>
  <c r="B14" i="33"/>
  <c r="A15" i="33"/>
  <c r="B15" i="33"/>
  <c r="A16" i="33"/>
  <c r="B16" i="33"/>
  <c r="A17" i="33"/>
  <c r="B17" i="33"/>
  <c r="A18" i="33"/>
  <c r="B18" i="33"/>
  <c r="A19" i="33"/>
  <c r="B19" i="33"/>
  <c r="A20" i="33"/>
  <c r="B20" i="33"/>
  <c r="A21" i="33"/>
  <c r="B21" i="33"/>
  <c r="A22" i="33"/>
  <c r="B22" i="33"/>
  <c r="A23" i="33"/>
  <c r="B23" i="33"/>
  <c r="A24" i="33"/>
  <c r="B24" i="33"/>
  <c r="A25" i="33"/>
  <c r="B25" i="33"/>
  <c r="A26" i="33"/>
  <c r="B26" i="33"/>
  <c r="A27" i="33"/>
  <c r="B27" i="33"/>
  <c r="A28" i="33"/>
  <c r="B28" i="33"/>
  <c r="A29" i="33"/>
  <c r="B29" i="33"/>
  <c r="A30" i="33"/>
  <c r="B30" i="33"/>
  <c r="A31" i="33"/>
  <c r="B31" i="33"/>
  <c r="A32" i="33"/>
  <c r="B32" i="33"/>
  <c r="A33" i="33"/>
  <c r="B33" i="33"/>
  <c r="A10" i="32"/>
  <c r="B10" i="32"/>
  <c r="A11" i="32"/>
  <c r="B11" i="32"/>
  <c r="A12" i="32"/>
  <c r="B12" i="32"/>
  <c r="A13" i="32"/>
  <c r="B13" i="32"/>
  <c r="A14" i="32"/>
  <c r="B14" i="32"/>
  <c r="A15" i="32"/>
  <c r="B15" i="32"/>
  <c r="A16" i="32"/>
  <c r="B16" i="32"/>
  <c r="A17" i="32"/>
  <c r="B17" i="32"/>
  <c r="A18" i="32"/>
  <c r="B18" i="32"/>
  <c r="A19" i="32"/>
  <c r="B19" i="32"/>
  <c r="A20" i="32"/>
  <c r="B20" i="32"/>
  <c r="A21" i="32"/>
  <c r="B21" i="32"/>
  <c r="A22" i="32"/>
  <c r="B22" i="32"/>
  <c r="A23" i="32"/>
  <c r="B23" i="32"/>
  <c r="A24" i="32"/>
  <c r="B24" i="32"/>
  <c r="A25" i="32"/>
  <c r="B25" i="32"/>
  <c r="A26" i="32"/>
  <c r="B26" i="32"/>
  <c r="A27" i="32"/>
  <c r="B27" i="32"/>
  <c r="A28" i="32"/>
  <c r="B28" i="32"/>
  <c r="A29" i="32"/>
  <c r="B29" i="32"/>
  <c r="A30" i="32"/>
  <c r="B30" i="32"/>
  <c r="A31" i="32"/>
  <c r="B31" i="32"/>
  <c r="A32" i="32"/>
  <c r="B32" i="32"/>
  <c r="A33" i="32"/>
  <c r="B33" i="32"/>
  <c r="A34" i="32"/>
  <c r="B34" i="32"/>
  <c r="A35" i="32"/>
  <c r="B35" i="32"/>
  <c r="A9" i="30"/>
  <c r="B9" i="30"/>
  <c r="A10" i="30"/>
  <c r="B10" i="30"/>
  <c r="A11" i="30"/>
  <c r="B11" i="30"/>
  <c r="A12" i="30"/>
  <c r="B12" i="30"/>
  <c r="A13" i="30"/>
  <c r="B13" i="30"/>
  <c r="A14" i="30"/>
  <c r="B14" i="30"/>
  <c r="A15" i="30"/>
  <c r="B15" i="30"/>
  <c r="A16" i="30"/>
  <c r="B16" i="30"/>
  <c r="A17" i="30"/>
  <c r="B17" i="30"/>
  <c r="A18" i="30"/>
  <c r="B18" i="30"/>
  <c r="A19" i="30"/>
  <c r="B19" i="30"/>
  <c r="A20" i="30"/>
  <c r="B20" i="30"/>
  <c r="A21" i="30"/>
  <c r="B21" i="30"/>
  <c r="A22" i="30"/>
  <c r="B22" i="30"/>
  <c r="A23" i="30"/>
  <c r="B23" i="30"/>
  <c r="A24" i="30"/>
  <c r="B24" i="30"/>
  <c r="A25" i="30"/>
  <c r="B25" i="30"/>
  <c r="A26" i="30"/>
  <c r="B26" i="30"/>
  <c r="A27" i="30"/>
  <c r="B27" i="30"/>
  <c r="A28" i="30"/>
  <c r="B28" i="30"/>
  <c r="A29" i="30"/>
  <c r="B29" i="30"/>
  <c r="A30" i="30"/>
  <c r="B30" i="30"/>
  <c r="A31" i="30"/>
  <c r="B31" i="30"/>
  <c r="A32" i="30"/>
  <c r="B32" i="30"/>
  <c r="A33" i="30"/>
  <c r="B33" i="30"/>
  <c r="A34" i="30"/>
  <c r="B34" i="30"/>
  <c r="A8" i="31"/>
  <c r="B8" i="31"/>
  <c r="A9" i="31"/>
  <c r="B9" i="31"/>
  <c r="A10" i="31"/>
  <c r="B10" i="31"/>
  <c r="A11" i="31"/>
  <c r="B11" i="31"/>
  <c r="A12" i="31"/>
  <c r="B12" i="31"/>
  <c r="A13" i="31"/>
  <c r="B13" i="31"/>
  <c r="A14" i="31"/>
  <c r="B14" i="31"/>
  <c r="A15" i="31"/>
  <c r="B15" i="31"/>
  <c r="A16" i="31"/>
  <c r="B16" i="31"/>
  <c r="A17" i="31"/>
  <c r="B17" i="31"/>
  <c r="A18" i="31"/>
  <c r="B18" i="31"/>
  <c r="A19" i="31"/>
  <c r="B19" i="31"/>
  <c r="A20" i="31"/>
  <c r="B20" i="31"/>
  <c r="A21" i="31"/>
  <c r="B21" i="31"/>
  <c r="A22" i="31"/>
  <c r="B22" i="31"/>
  <c r="A23" i="31"/>
  <c r="B23" i="31"/>
  <c r="A24" i="31"/>
  <c r="B24" i="31"/>
  <c r="A25" i="31"/>
  <c r="B25" i="31"/>
  <c r="A26" i="31"/>
  <c r="B26" i="31"/>
  <c r="A27" i="31"/>
  <c r="B27" i="31"/>
  <c r="A28" i="31"/>
  <c r="B28" i="31"/>
  <c r="A29" i="31"/>
  <c r="B29" i="31"/>
  <c r="A30" i="31"/>
  <c r="B30" i="31"/>
  <c r="A31" i="31"/>
  <c r="B31" i="31"/>
  <c r="A32" i="31"/>
  <c r="B32" i="31"/>
  <c r="A33" i="31"/>
  <c r="B33" i="31"/>
  <c r="A8" i="58"/>
  <c r="B8" i="58"/>
  <c r="A9" i="58"/>
  <c r="B9" i="58"/>
  <c r="A10" i="58"/>
  <c r="B10" i="58"/>
  <c r="A11" i="58"/>
  <c r="B11" i="58"/>
  <c r="A12" i="58"/>
  <c r="B12" i="58"/>
  <c r="A13" i="58"/>
  <c r="B13" i="58"/>
  <c r="A14" i="58"/>
  <c r="B14" i="58"/>
  <c r="A15" i="58"/>
  <c r="B15" i="58"/>
  <c r="A16" i="58"/>
  <c r="B16" i="58"/>
  <c r="A17" i="58"/>
  <c r="B17" i="58"/>
  <c r="A18" i="58"/>
  <c r="B18" i="58"/>
  <c r="A19" i="58"/>
  <c r="B19" i="58"/>
  <c r="A20" i="58"/>
  <c r="B20" i="58"/>
  <c r="A21" i="58"/>
  <c r="B21" i="58"/>
  <c r="A22" i="58"/>
  <c r="B22" i="58"/>
  <c r="A23" i="58"/>
  <c r="B23" i="58"/>
  <c r="A24" i="58"/>
  <c r="B24" i="58"/>
  <c r="A25" i="58"/>
  <c r="B25" i="58"/>
  <c r="A26" i="58"/>
  <c r="B26" i="58"/>
  <c r="A27" i="58"/>
  <c r="B27" i="58"/>
  <c r="A28" i="58"/>
  <c r="B28" i="58"/>
  <c r="A29" i="58"/>
  <c r="B29" i="58"/>
  <c r="A30" i="58"/>
  <c r="B30" i="58"/>
  <c r="A31" i="58"/>
  <c r="B31" i="58"/>
  <c r="A32" i="58"/>
  <c r="B32" i="58"/>
  <c r="A33" i="58"/>
  <c r="B33" i="58"/>
  <c r="A9" i="14"/>
  <c r="B9" i="14"/>
  <c r="A10" i="14"/>
  <c r="B10" i="14"/>
  <c r="A11" i="14"/>
  <c r="B11" i="14"/>
  <c r="A12" i="14"/>
  <c r="B12" i="14"/>
  <c r="A13" i="14"/>
  <c r="B13" i="14"/>
  <c r="A14" i="14"/>
  <c r="B14" i="14"/>
  <c r="A15" i="14"/>
  <c r="B15" i="14"/>
  <c r="A16" i="14"/>
  <c r="B16" i="14"/>
  <c r="A17" i="14"/>
  <c r="B17" i="14"/>
  <c r="A18" i="14"/>
  <c r="B18" i="14"/>
  <c r="A19" i="14"/>
  <c r="B19" i="14"/>
  <c r="A20" i="14"/>
  <c r="B20" i="14"/>
  <c r="A21" i="14"/>
  <c r="B21" i="14"/>
  <c r="A22" i="14"/>
  <c r="B22" i="14"/>
  <c r="A23" i="14"/>
  <c r="B23" i="14"/>
  <c r="A24" i="14"/>
  <c r="B24" i="14"/>
  <c r="A25" i="14"/>
  <c r="B25" i="14"/>
  <c r="A26" i="14"/>
  <c r="B26" i="14"/>
  <c r="A27" i="14"/>
  <c r="B27" i="14"/>
  <c r="A28" i="14"/>
  <c r="B28" i="14"/>
  <c r="A29" i="14"/>
  <c r="B29" i="14"/>
  <c r="A30" i="14"/>
  <c r="B30" i="14"/>
  <c r="A31" i="14"/>
  <c r="B31" i="14"/>
  <c r="A32" i="14"/>
  <c r="B32" i="14"/>
  <c r="A33" i="14"/>
  <c r="B33" i="14"/>
  <c r="A9" i="15"/>
  <c r="B9" i="15"/>
  <c r="A10" i="15"/>
  <c r="B10" i="15"/>
  <c r="A11" i="15"/>
  <c r="B11" i="15"/>
  <c r="A12" i="15"/>
  <c r="B12" i="15"/>
  <c r="A13" i="15"/>
  <c r="B13" i="15"/>
  <c r="A14" i="15"/>
  <c r="B14" i="15"/>
  <c r="A15" i="15"/>
  <c r="B15" i="15"/>
  <c r="A16" i="15"/>
  <c r="B16" i="15"/>
  <c r="A17" i="15"/>
  <c r="B17" i="15"/>
  <c r="A18" i="15"/>
  <c r="B18" i="15"/>
  <c r="A19" i="15"/>
  <c r="B19" i="15"/>
  <c r="A20" i="15"/>
  <c r="B20" i="15"/>
  <c r="A21" i="15"/>
  <c r="B21" i="15"/>
  <c r="A22" i="15"/>
  <c r="B22" i="15"/>
  <c r="A23" i="15"/>
  <c r="B23" i="15"/>
  <c r="A24" i="15"/>
  <c r="B24" i="15"/>
  <c r="A25" i="15"/>
  <c r="B25" i="15"/>
  <c r="A26" i="15"/>
  <c r="B26" i="15"/>
  <c r="A27" i="15"/>
  <c r="B27" i="15"/>
  <c r="A28" i="15"/>
  <c r="B28" i="15"/>
  <c r="A29" i="15"/>
  <c r="B29" i="15"/>
  <c r="A30" i="15"/>
  <c r="B30" i="15"/>
  <c r="A31" i="15"/>
  <c r="B31" i="15"/>
  <c r="A32" i="15"/>
  <c r="B32" i="15"/>
  <c r="A33" i="15"/>
  <c r="B33" i="15"/>
  <c r="A11" i="43"/>
  <c r="B11" i="43"/>
  <c r="A12" i="43"/>
  <c r="B12" i="43"/>
  <c r="A13" i="43"/>
  <c r="B13" i="43"/>
  <c r="A14" i="43"/>
  <c r="B14" i="43"/>
  <c r="A15" i="43"/>
  <c r="B15" i="43"/>
  <c r="A16" i="43"/>
  <c r="B16" i="43"/>
  <c r="A17" i="43"/>
  <c r="B17" i="43"/>
  <c r="A18" i="43"/>
  <c r="B18" i="43"/>
  <c r="A19" i="43"/>
  <c r="B19" i="43"/>
  <c r="A20" i="43"/>
  <c r="B20" i="43"/>
  <c r="A21" i="43"/>
  <c r="B21" i="43"/>
  <c r="A22" i="43"/>
  <c r="B22" i="43"/>
  <c r="A23" i="43"/>
  <c r="B23" i="43"/>
  <c r="A24" i="43"/>
  <c r="B24" i="43"/>
  <c r="A25" i="43"/>
  <c r="B25" i="43"/>
  <c r="A26" i="43"/>
  <c r="B26" i="43"/>
  <c r="A27" i="43"/>
  <c r="B27" i="43"/>
  <c r="A28" i="43"/>
  <c r="B28" i="43"/>
  <c r="A29" i="43"/>
  <c r="B29" i="43"/>
  <c r="A30" i="43"/>
  <c r="B30" i="43"/>
  <c r="A31" i="43"/>
  <c r="B31" i="43"/>
  <c r="A32" i="43"/>
  <c r="B32" i="43"/>
  <c r="A33" i="43"/>
  <c r="B33" i="43"/>
  <c r="A34" i="43"/>
  <c r="B34" i="43"/>
  <c r="A35" i="43"/>
  <c r="B35" i="43"/>
  <c r="A9" i="18"/>
  <c r="B9" i="18"/>
  <c r="A10" i="18"/>
  <c r="B10" i="18"/>
  <c r="A11" i="18"/>
  <c r="B11" i="18"/>
  <c r="A12" i="18"/>
  <c r="B12" i="18"/>
  <c r="A13" i="18"/>
  <c r="B13" i="18"/>
  <c r="A14" i="18"/>
  <c r="B14" i="18"/>
  <c r="A15" i="18"/>
  <c r="B15" i="18"/>
  <c r="A16" i="18"/>
  <c r="B16" i="18"/>
  <c r="A17" i="18"/>
  <c r="B17" i="18"/>
  <c r="A18" i="18"/>
  <c r="B18" i="18"/>
  <c r="A19" i="18"/>
  <c r="B19" i="18"/>
  <c r="A20" i="18"/>
  <c r="B20" i="18"/>
  <c r="A21" i="18"/>
  <c r="B21" i="18"/>
  <c r="A22" i="18"/>
  <c r="B22" i="18"/>
  <c r="A23" i="18"/>
  <c r="B23" i="18"/>
  <c r="A24" i="18"/>
  <c r="B24" i="18"/>
  <c r="A25" i="18"/>
  <c r="B25" i="18"/>
  <c r="A26" i="18"/>
  <c r="B26" i="18"/>
  <c r="A27" i="18"/>
  <c r="B27" i="18"/>
  <c r="A28" i="18"/>
  <c r="B28" i="18"/>
  <c r="A29" i="18"/>
  <c r="B29" i="18"/>
  <c r="A30" i="18"/>
  <c r="B30" i="18"/>
  <c r="A31" i="18"/>
  <c r="B31" i="18"/>
  <c r="A32" i="18"/>
  <c r="B32" i="18"/>
  <c r="A33" i="18"/>
  <c r="B33" i="18"/>
  <c r="A9" i="4"/>
  <c r="B9" i="4"/>
  <c r="A10" i="4"/>
  <c r="B10" i="4"/>
  <c r="A11" i="4"/>
  <c r="B11" i="4"/>
  <c r="A12" i="4"/>
  <c r="B12" i="4"/>
  <c r="A13" i="4"/>
  <c r="B13" i="4"/>
  <c r="A14" i="4"/>
  <c r="B14" i="4"/>
  <c r="A15" i="4"/>
  <c r="B15" i="4"/>
  <c r="A16" i="4"/>
  <c r="B16" i="4"/>
  <c r="A17" i="4"/>
  <c r="B17" i="4"/>
  <c r="A18" i="4"/>
  <c r="B18" i="4"/>
  <c r="A19" i="4"/>
  <c r="B19" i="4"/>
  <c r="A20" i="4"/>
  <c r="B20" i="4"/>
  <c r="A21" i="4"/>
  <c r="B21" i="4"/>
  <c r="A22" i="4"/>
  <c r="B22" i="4"/>
  <c r="A23" i="4"/>
  <c r="B23" i="4"/>
  <c r="A24" i="4"/>
  <c r="B24" i="4"/>
  <c r="A25" i="4"/>
  <c r="B25" i="4"/>
  <c r="A26" i="4"/>
  <c r="B26" i="4"/>
  <c r="A27" i="4"/>
  <c r="B27" i="4"/>
  <c r="A28" i="4"/>
  <c r="B28" i="4"/>
  <c r="A29" i="4"/>
  <c r="B29" i="4"/>
  <c r="A30" i="4"/>
  <c r="B30" i="4"/>
  <c r="A31" i="4"/>
  <c r="B31" i="4"/>
  <c r="A32" i="4"/>
  <c r="B32" i="4"/>
  <c r="A33" i="4"/>
  <c r="B33" i="4"/>
  <c r="A9" i="5"/>
  <c r="B9" i="5"/>
  <c r="A11" i="5"/>
  <c r="B11" i="5"/>
  <c r="A12" i="5"/>
  <c r="B12" i="5"/>
  <c r="A13" i="5"/>
  <c r="B13" i="5"/>
  <c r="A14" i="5"/>
  <c r="B14" i="5"/>
  <c r="A15" i="5"/>
  <c r="B15" i="5"/>
  <c r="A16" i="5"/>
  <c r="B16" i="5"/>
  <c r="A17" i="5"/>
  <c r="B17" i="5"/>
  <c r="A18" i="5"/>
  <c r="B18" i="5"/>
  <c r="A19" i="5"/>
  <c r="B19" i="5"/>
  <c r="A20" i="5"/>
  <c r="B20" i="5"/>
  <c r="A21" i="5"/>
  <c r="B21" i="5"/>
  <c r="A22" i="5"/>
  <c r="B22" i="5"/>
  <c r="A23" i="5"/>
  <c r="B23" i="5"/>
  <c r="A24" i="5"/>
  <c r="B24" i="5"/>
  <c r="A25" i="5"/>
  <c r="B25" i="5"/>
  <c r="A26" i="5"/>
  <c r="B26" i="5"/>
  <c r="A27" i="5"/>
  <c r="B27" i="5"/>
  <c r="A28" i="5"/>
  <c r="B28" i="5"/>
  <c r="A29" i="5"/>
  <c r="B29" i="5"/>
  <c r="A30" i="5"/>
  <c r="B30" i="5"/>
  <c r="A31" i="5"/>
  <c r="B31" i="5"/>
  <c r="A32" i="5"/>
  <c r="B32" i="5"/>
  <c r="A33" i="5"/>
  <c r="B33" i="5"/>
  <c r="A9" i="6"/>
  <c r="B9" i="6"/>
  <c r="A10" i="6"/>
  <c r="B10" i="6"/>
  <c r="A11" i="6"/>
  <c r="B11" i="6"/>
  <c r="A12" i="6"/>
  <c r="B12" i="6"/>
  <c r="A13" i="6"/>
  <c r="B13" i="6"/>
  <c r="A14" i="6"/>
  <c r="B14" i="6"/>
  <c r="A15" i="6"/>
  <c r="B15" i="6"/>
  <c r="A16" i="6"/>
  <c r="B16" i="6"/>
  <c r="A17" i="6"/>
  <c r="B17" i="6"/>
  <c r="A18" i="6"/>
  <c r="B18" i="6"/>
  <c r="A19" i="6"/>
  <c r="B19" i="6"/>
  <c r="A20" i="6"/>
  <c r="B20" i="6"/>
  <c r="A21" i="6"/>
  <c r="B21" i="6"/>
  <c r="A22" i="6"/>
  <c r="B22" i="6"/>
  <c r="A23" i="6"/>
  <c r="B23" i="6"/>
  <c r="A24" i="6"/>
  <c r="B24" i="6"/>
  <c r="A25" i="6"/>
  <c r="B25" i="6"/>
  <c r="A26" i="6"/>
  <c r="B26" i="6"/>
  <c r="A27" i="6"/>
  <c r="B27" i="6"/>
  <c r="A28" i="6"/>
  <c r="B28" i="6"/>
  <c r="A29" i="6"/>
  <c r="B29" i="6"/>
  <c r="A30" i="6"/>
  <c r="B30" i="6"/>
  <c r="A31" i="6"/>
  <c r="B31" i="6"/>
  <c r="A32" i="6"/>
  <c r="B32" i="6"/>
  <c r="A33" i="6"/>
  <c r="B33" i="6"/>
  <c r="A10" i="7"/>
  <c r="B10" i="7"/>
  <c r="A11" i="7"/>
  <c r="B11" i="7"/>
  <c r="A12" i="7"/>
  <c r="B12" i="7"/>
  <c r="A13" i="7"/>
  <c r="B13" i="7"/>
  <c r="A14" i="7"/>
  <c r="B14" i="7"/>
  <c r="A15" i="7"/>
  <c r="B15" i="7"/>
  <c r="A16" i="7"/>
  <c r="B16" i="7"/>
  <c r="A17" i="7"/>
  <c r="B17" i="7"/>
  <c r="A18" i="7"/>
  <c r="B18" i="7"/>
  <c r="A19" i="7"/>
  <c r="B19" i="7"/>
  <c r="A20" i="7"/>
  <c r="B20" i="7"/>
  <c r="A21" i="7"/>
  <c r="B21" i="7"/>
  <c r="A22" i="7"/>
  <c r="B22" i="7"/>
  <c r="A23" i="7"/>
  <c r="B23" i="7"/>
  <c r="A24" i="7"/>
  <c r="B24" i="7"/>
  <c r="A25" i="7"/>
  <c r="B25" i="7"/>
  <c r="A26" i="7"/>
  <c r="B26" i="7"/>
  <c r="A27" i="7"/>
  <c r="B27" i="7"/>
  <c r="A28" i="7"/>
  <c r="B28" i="7"/>
  <c r="A29" i="7"/>
  <c r="B29" i="7"/>
  <c r="A30" i="7"/>
  <c r="B30" i="7"/>
  <c r="A31" i="7"/>
  <c r="B31" i="7"/>
  <c r="A32" i="7"/>
  <c r="B32" i="7"/>
  <c r="A33" i="7"/>
  <c r="B33" i="7"/>
  <c r="A34" i="7"/>
  <c r="B34" i="7"/>
  <c r="A10" i="8"/>
  <c r="B10" i="8"/>
  <c r="A11" i="8"/>
  <c r="B11" i="8"/>
  <c r="A12" i="8"/>
  <c r="B12" i="8"/>
  <c r="A13" i="8"/>
  <c r="B13" i="8"/>
  <c r="A14" i="8"/>
  <c r="B14" i="8"/>
  <c r="A15" i="8"/>
  <c r="B15" i="8"/>
  <c r="A16" i="8"/>
  <c r="B16" i="8"/>
  <c r="A17" i="8"/>
  <c r="B17" i="8"/>
  <c r="A18" i="8"/>
  <c r="B18" i="8"/>
  <c r="A19" i="8"/>
  <c r="B19" i="8"/>
  <c r="A20" i="8"/>
  <c r="B20" i="8"/>
  <c r="A21" i="8"/>
  <c r="B21" i="8"/>
  <c r="A22" i="8"/>
  <c r="B22" i="8"/>
  <c r="A23" i="8"/>
  <c r="B23" i="8"/>
  <c r="A24" i="8"/>
  <c r="B24" i="8"/>
  <c r="A25" i="8"/>
  <c r="B25" i="8"/>
  <c r="A26" i="8"/>
  <c r="B26" i="8"/>
  <c r="A27" i="8"/>
  <c r="B27" i="8"/>
  <c r="A28" i="8"/>
  <c r="B28" i="8"/>
  <c r="A29" i="8"/>
  <c r="B29" i="8"/>
  <c r="A30" i="8"/>
  <c r="B30" i="8"/>
  <c r="A31" i="8"/>
  <c r="B31" i="8"/>
  <c r="A32" i="8"/>
  <c r="B32" i="8"/>
  <c r="A33" i="8"/>
  <c r="B33" i="8"/>
  <c r="A34" i="8"/>
  <c r="B34" i="8"/>
  <c r="A9" i="8"/>
  <c r="B9" i="8"/>
  <c r="B17" i="9"/>
  <c r="E14" i="9" s="1"/>
  <c r="B18" i="9"/>
  <c r="F14" i="9" s="1"/>
  <c r="B19" i="9"/>
  <c r="G14" i="9" s="1"/>
  <c r="B20" i="9"/>
  <c r="H14" i="9" s="1"/>
  <c r="B21" i="9"/>
  <c r="B22" i="9"/>
  <c r="J14" i="9" s="1"/>
  <c r="B23" i="9"/>
  <c r="K14" i="9" s="1"/>
  <c r="B24" i="9"/>
  <c r="L14" i="9" s="1"/>
  <c r="B25" i="9"/>
  <c r="M14" i="9" s="1"/>
  <c r="B26" i="9"/>
  <c r="N14" i="9" s="1"/>
  <c r="B27" i="9"/>
  <c r="B28" i="9"/>
  <c r="P14" i="9" s="1"/>
  <c r="B29" i="9"/>
  <c r="Q14" i="9" s="1"/>
  <c r="B30" i="9"/>
  <c r="R14" i="9" s="1"/>
  <c r="B31" i="9"/>
  <c r="S14" i="9" s="1"/>
  <c r="B32" i="9"/>
  <c r="T14" i="9" s="1"/>
  <c r="B33" i="9"/>
  <c r="U14" i="9" s="1"/>
  <c r="B34" i="9"/>
  <c r="V14" i="9" s="1"/>
  <c r="B35" i="9"/>
  <c r="W14" i="9" s="1"/>
  <c r="B36" i="9"/>
  <c r="X14" i="9" s="1"/>
  <c r="B37" i="9"/>
  <c r="Y14" i="9" s="1"/>
  <c r="B38" i="9"/>
  <c r="Z14" i="9" s="1"/>
  <c r="B39" i="9"/>
  <c r="AA14" i="9" s="1"/>
  <c r="B40" i="9"/>
  <c r="AB14" i="9" s="1"/>
  <c r="B41" i="9"/>
  <c r="AC14" i="9" s="1"/>
  <c r="B42" i="9"/>
  <c r="AD14" i="9" s="1"/>
  <c r="A17" i="9"/>
  <c r="A18" i="9"/>
  <c r="A19" i="9"/>
  <c r="A20" i="9"/>
  <c r="A21" i="9"/>
  <c r="A22" i="9"/>
  <c r="A23" i="9"/>
  <c r="A24" i="9"/>
  <c r="A25" i="9"/>
  <c r="A26" i="9"/>
  <c r="A27" i="9"/>
  <c r="A28" i="9"/>
  <c r="A29" i="9"/>
  <c r="A30" i="9"/>
  <c r="A31" i="9"/>
  <c r="A32" i="9"/>
  <c r="A33" i="9"/>
  <c r="A34" i="9"/>
  <c r="A35" i="9"/>
  <c r="A36" i="9"/>
  <c r="A37" i="9"/>
  <c r="A38" i="9"/>
  <c r="A39" i="9"/>
  <c r="A40" i="9"/>
  <c r="A41" i="9"/>
  <c r="A42" i="9"/>
  <c r="F20" i="2"/>
  <c r="F21" i="2"/>
  <c r="V34" i="8"/>
  <c r="U34" i="8"/>
  <c r="D33" i="33" s="1"/>
  <c r="V33" i="8"/>
  <c r="U33" i="8"/>
  <c r="V32" i="8"/>
  <c r="U32" i="8"/>
  <c r="V31" i="8"/>
  <c r="H30" i="48" s="1"/>
  <c r="U31" i="8"/>
  <c r="V30" i="8"/>
  <c r="U30" i="8"/>
  <c r="V29" i="8"/>
  <c r="U29" i="8"/>
  <c r="V28" i="8"/>
  <c r="U28" i="8"/>
  <c r="V27" i="8"/>
  <c r="U27" i="8"/>
  <c r="V26" i="8"/>
  <c r="U26" i="8"/>
  <c r="V25" i="8"/>
  <c r="U25" i="8"/>
  <c r="V24" i="8"/>
  <c r="U24" i="8"/>
  <c r="V23" i="8"/>
  <c r="U23" i="8"/>
  <c r="V22" i="8"/>
  <c r="U22" i="8"/>
  <c r="V21" i="8"/>
  <c r="U21" i="8"/>
  <c r="V20" i="8"/>
  <c r="U20" i="8"/>
  <c r="V19" i="8"/>
  <c r="U19" i="8"/>
  <c r="V18" i="8"/>
  <c r="U18" i="8"/>
  <c r="V17" i="8"/>
  <c r="U17" i="8"/>
  <c r="V16" i="8"/>
  <c r="U16" i="8"/>
  <c r="V15" i="8"/>
  <c r="D14" i="33" s="1"/>
  <c r="U15" i="8"/>
  <c r="V14" i="8"/>
  <c r="U14" i="8"/>
  <c r="V13" i="8"/>
  <c r="U13" i="8"/>
  <c r="V12" i="8"/>
  <c r="U12" i="8"/>
  <c r="V11" i="8"/>
  <c r="U11" i="8"/>
  <c r="V10" i="8"/>
  <c r="U10" i="8"/>
  <c r="H9" i="48" s="1"/>
  <c r="V9" i="8"/>
  <c r="U9" i="8"/>
  <c r="V8" i="8"/>
  <c r="U8" i="8"/>
  <c r="R35" i="8"/>
  <c r="Q35" i="8"/>
  <c r="V9" i="7"/>
  <c r="V10" i="7"/>
  <c r="V11" i="7"/>
  <c r="V12" i="7"/>
  <c r="V13" i="7"/>
  <c r="V14" i="7"/>
  <c r="V15" i="7"/>
  <c r="V16" i="7"/>
  <c r="V17" i="7"/>
  <c r="V18" i="7"/>
  <c r="V19" i="7"/>
  <c r="V20" i="7"/>
  <c r="V21" i="7"/>
  <c r="V22" i="7"/>
  <c r="V23" i="7"/>
  <c r="V24" i="7"/>
  <c r="V25" i="7"/>
  <c r="V26" i="7"/>
  <c r="V27" i="7"/>
  <c r="V28" i="7"/>
  <c r="V29" i="7"/>
  <c r="V30" i="7"/>
  <c r="V31" i="7"/>
  <c r="V32" i="7"/>
  <c r="V33" i="7"/>
  <c r="V34" i="7"/>
  <c r="V8" i="7"/>
  <c r="U9" i="7"/>
  <c r="E8" i="33" s="1"/>
  <c r="U10" i="7"/>
  <c r="U11" i="7"/>
  <c r="U12" i="7"/>
  <c r="E11" i="31" s="1"/>
  <c r="U13" i="7"/>
  <c r="U14" i="7"/>
  <c r="U15" i="7"/>
  <c r="U16" i="7"/>
  <c r="E15" i="31" s="1"/>
  <c r="U17" i="7"/>
  <c r="E16" i="33" s="1"/>
  <c r="U18" i="7"/>
  <c r="U19" i="7"/>
  <c r="U20" i="7"/>
  <c r="U21" i="7"/>
  <c r="U22" i="7"/>
  <c r="U23" i="7"/>
  <c r="U24" i="7"/>
  <c r="E23" i="31" s="1"/>
  <c r="U25" i="7"/>
  <c r="E24" i="31" s="1"/>
  <c r="U26" i="7"/>
  <c r="U27" i="7"/>
  <c r="E26" i="31" s="1"/>
  <c r="U28" i="7"/>
  <c r="E27" i="31" s="1"/>
  <c r="U29" i="7"/>
  <c r="U30" i="7"/>
  <c r="U31" i="7"/>
  <c r="E30" i="31" s="1"/>
  <c r="U32" i="7"/>
  <c r="U33" i="7"/>
  <c r="E32" i="31" s="1"/>
  <c r="U34" i="7"/>
  <c r="U8" i="7"/>
  <c r="C16" i="2"/>
  <c r="D16" i="2"/>
  <c r="E16" i="2"/>
  <c r="F16" i="2"/>
  <c r="G16" i="2"/>
  <c r="H16" i="2"/>
  <c r="I16" i="2"/>
  <c r="J16" i="2"/>
  <c r="AI16" i="2"/>
  <c r="AJ16" i="2"/>
  <c r="C17" i="2"/>
  <c r="D17" i="2"/>
  <c r="E17" i="2"/>
  <c r="F17" i="2"/>
  <c r="G17" i="2"/>
  <c r="H17" i="2"/>
  <c r="I17" i="2"/>
  <c r="J17" i="2"/>
  <c r="AI17" i="2"/>
  <c r="AJ17" i="2"/>
  <c r="C27" i="2"/>
  <c r="D27" i="2"/>
  <c r="E27" i="2"/>
  <c r="F27" i="2"/>
  <c r="G27" i="2"/>
  <c r="H27" i="2"/>
  <c r="I27" i="2"/>
  <c r="J27" i="2"/>
  <c r="AI27" i="2"/>
  <c r="AJ27" i="2"/>
  <c r="C28" i="2"/>
  <c r="D28" i="2"/>
  <c r="E28" i="2"/>
  <c r="F28" i="2"/>
  <c r="G28" i="2"/>
  <c r="H28" i="2"/>
  <c r="I28" i="2"/>
  <c r="J28" i="2"/>
  <c r="C29" i="43"/>
  <c r="E29" i="43"/>
  <c r="I29" i="43"/>
  <c r="K29" i="43"/>
  <c r="M29" i="43"/>
  <c r="O29" i="43"/>
  <c r="Q29" i="43"/>
  <c r="S29" i="43"/>
  <c r="W29" i="43"/>
  <c r="D29" i="43"/>
  <c r="F29" i="43"/>
  <c r="J29" i="43"/>
  <c r="L29" i="43"/>
  <c r="N29" i="43"/>
  <c r="P29" i="43"/>
  <c r="R29" i="43"/>
  <c r="T29" i="43"/>
  <c r="X29" i="43"/>
  <c r="E27" i="48"/>
  <c r="AE36" i="9"/>
  <c r="F27" i="48" s="1"/>
  <c r="G27" i="48"/>
  <c r="AI28" i="2"/>
  <c r="AJ28" i="2"/>
  <c r="C29" i="2"/>
  <c r="D29" i="2"/>
  <c r="C29" i="33" s="1"/>
  <c r="E29" i="2"/>
  <c r="F29" i="2"/>
  <c r="G29" i="2"/>
  <c r="H29" i="2"/>
  <c r="I29" i="2"/>
  <c r="J29" i="2"/>
  <c r="X28" i="6"/>
  <c r="I29" i="30" s="1"/>
  <c r="AB28" i="5"/>
  <c r="J29" i="30" s="1"/>
  <c r="P28" i="4"/>
  <c r="K29" i="30" s="1"/>
  <c r="AI29" i="2"/>
  <c r="AJ29" i="2"/>
  <c r="C30" i="2"/>
  <c r="C30" i="31" s="1"/>
  <c r="D30" i="2"/>
  <c r="E30" i="2"/>
  <c r="F30" i="2"/>
  <c r="G30" i="2"/>
  <c r="H30" i="2"/>
  <c r="I30" i="2"/>
  <c r="J30" i="2"/>
  <c r="AI30" i="2"/>
  <c r="AJ30" i="2"/>
  <c r="C31" i="2"/>
  <c r="D31" i="2"/>
  <c r="E31" i="2"/>
  <c r="F31" i="2"/>
  <c r="G31" i="2"/>
  <c r="H31" i="2"/>
  <c r="I31" i="2"/>
  <c r="J31" i="2"/>
  <c r="AI31" i="2"/>
  <c r="AJ31" i="2"/>
  <c r="C18" i="2"/>
  <c r="D18" i="2"/>
  <c r="E18" i="2"/>
  <c r="F18" i="2"/>
  <c r="G18" i="2"/>
  <c r="H18" i="2"/>
  <c r="I18" i="2"/>
  <c r="J18" i="2"/>
  <c r="AI18" i="2"/>
  <c r="AJ18" i="2"/>
  <c r="C32" i="2"/>
  <c r="D32" i="2"/>
  <c r="E32" i="2"/>
  <c r="F32" i="2"/>
  <c r="G32" i="2"/>
  <c r="H32" i="2"/>
  <c r="I32" i="2"/>
  <c r="J32" i="2"/>
  <c r="AI32" i="2"/>
  <c r="AJ32" i="2"/>
  <c r="C33" i="2"/>
  <c r="D33" i="2"/>
  <c r="E33" i="2"/>
  <c r="F33" i="2"/>
  <c r="G33" i="2"/>
  <c r="H33" i="2"/>
  <c r="I33" i="2"/>
  <c r="J33" i="2"/>
  <c r="AI33" i="2"/>
  <c r="AJ33" i="2"/>
  <c r="G7" i="2"/>
  <c r="G8" i="2"/>
  <c r="G9" i="2"/>
  <c r="G10" i="2"/>
  <c r="G11" i="2"/>
  <c r="G19" i="2"/>
  <c r="G20" i="2"/>
  <c r="G21" i="2"/>
  <c r="G12" i="2"/>
  <c r="G13" i="2"/>
  <c r="G22" i="2"/>
  <c r="G23" i="2"/>
  <c r="G24" i="2"/>
  <c r="G25" i="2"/>
  <c r="G26" i="2"/>
  <c r="G14" i="2"/>
  <c r="G15" i="2"/>
  <c r="I7" i="2"/>
  <c r="I8" i="2"/>
  <c r="I9" i="2"/>
  <c r="I10" i="2"/>
  <c r="I11" i="2"/>
  <c r="I19" i="2"/>
  <c r="I20" i="2"/>
  <c r="I21" i="2"/>
  <c r="I12" i="2"/>
  <c r="I13" i="2"/>
  <c r="I22" i="2"/>
  <c r="I23" i="2"/>
  <c r="I24" i="2"/>
  <c r="I25" i="2"/>
  <c r="I26" i="2"/>
  <c r="I14" i="2"/>
  <c r="I15" i="2"/>
  <c r="W29" i="6"/>
  <c r="D30" i="30" s="1"/>
  <c r="AA29" i="5"/>
  <c r="E30" i="30" s="1"/>
  <c r="O29" i="4"/>
  <c r="F30" i="30" s="1"/>
  <c r="AA43" i="9"/>
  <c r="G30" i="31" s="1"/>
  <c r="F26" i="74"/>
  <c r="F27" i="74"/>
  <c r="F28" i="74"/>
  <c r="F29" i="74"/>
  <c r="F30" i="74"/>
  <c r="F31" i="74"/>
  <c r="F32" i="74"/>
  <c r="F33" i="74"/>
  <c r="E25" i="48"/>
  <c r="G25" i="48"/>
  <c r="E26" i="48"/>
  <c r="G26" i="48"/>
  <c r="E28" i="48"/>
  <c r="G28" i="48"/>
  <c r="E29" i="48"/>
  <c r="G29" i="48"/>
  <c r="E30" i="48"/>
  <c r="G30" i="48"/>
  <c r="E31" i="48"/>
  <c r="G31" i="48"/>
  <c r="E32" i="48"/>
  <c r="G32" i="48"/>
  <c r="E33" i="48"/>
  <c r="G33" i="48"/>
  <c r="C26" i="15"/>
  <c r="E26" i="58" s="1"/>
  <c r="C28" i="15"/>
  <c r="E28" i="58" s="1"/>
  <c r="AE38" i="9"/>
  <c r="H29" i="33" s="1"/>
  <c r="C29" i="15"/>
  <c r="F29" i="44" s="1"/>
  <c r="D33" i="15"/>
  <c r="D33" i="29" s="1"/>
  <c r="X43" i="9"/>
  <c r="F27" i="33" s="1"/>
  <c r="Z43" i="9"/>
  <c r="G29" i="31" s="1"/>
  <c r="AD43" i="9"/>
  <c r="F33" i="33" s="1"/>
  <c r="AE42" i="9"/>
  <c r="F33" i="31" s="1"/>
  <c r="D28" i="32"/>
  <c r="E28" i="32"/>
  <c r="F28" i="32"/>
  <c r="G28" i="32"/>
  <c r="H28" i="32"/>
  <c r="I28" i="32"/>
  <c r="J28" i="32"/>
  <c r="P28" i="32"/>
  <c r="Q28" i="32"/>
  <c r="R28" i="32"/>
  <c r="S28" i="32"/>
  <c r="T28" i="32"/>
  <c r="U28" i="32"/>
  <c r="V28" i="32"/>
  <c r="G29" i="32"/>
  <c r="H29" i="32"/>
  <c r="I29" i="32"/>
  <c r="J29" i="32"/>
  <c r="D29" i="32"/>
  <c r="E29" i="32"/>
  <c r="F29" i="32"/>
  <c r="AU27" i="18"/>
  <c r="L29" i="32" s="1"/>
  <c r="P29" i="32"/>
  <c r="Q29" i="32"/>
  <c r="R29" i="32"/>
  <c r="S29" i="32"/>
  <c r="T29" i="32"/>
  <c r="U29" i="32"/>
  <c r="U36" i="32" s="1"/>
  <c r="V29" i="32"/>
  <c r="D30" i="32"/>
  <c r="E30" i="32"/>
  <c r="F30" i="32"/>
  <c r="G30" i="32"/>
  <c r="H30" i="32"/>
  <c r="I30" i="32"/>
  <c r="J30" i="32"/>
  <c r="AU28" i="18"/>
  <c r="L30" i="32" s="1"/>
  <c r="P30" i="32"/>
  <c r="Q30" i="32"/>
  <c r="R30" i="32"/>
  <c r="S30" i="32"/>
  <c r="T30" i="32"/>
  <c r="U30" i="32"/>
  <c r="V30" i="32"/>
  <c r="D31" i="32"/>
  <c r="E31" i="32"/>
  <c r="F31" i="32"/>
  <c r="G31" i="32"/>
  <c r="H31" i="32"/>
  <c r="I31" i="32"/>
  <c r="J31" i="32"/>
  <c r="P31" i="32"/>
  <c r="Q31" i="32"/>
  <c r="R31" i="32"/>
  <c r="S31" i="32"/>
  <c r="T31" i="32"/>
  <c r="U31" i="32"/>
  <c r="V31" i="32"/>
  <c r="D32" i="32"/>
  <c r="E32" i="32"/>
  <c r="E36" i="32" s="1"/>
  <c r="F32" i="32"/>
  <c r="G32" i="32"/>
  <c r="H32" i="32"/>
  <c r="I32" i="32"/>
  <c r="J32" i="32"/>
  <c r="P32" i="32"/>
  <c r="Q32" i="32"/>
  <c r="R32" i="32"/>
  <c r="S32" i="32"/>
  <c r="T32" i="32"/>
  <c r="U32" i="32"/>
  <c r="V32" i="32"/>
  <c r="D33" i="32"/>
  <c r="E33" i="32"/>
  <c r="F33" i="32"/>
  <c r="G33" i="32"/>
  <c r="H33" i="32"/>
  <c r="I33" i="32"/>
  <c r="J33" i="32"/>
  <c r="S33" i="32"/>
  <c r="T33" i="32"/>
  <c r="U33" i="32"/>
  <c r="V33" i="32"/>
  <c r="P33" i="32"/>
  <c r="Q33" i="32"/>
  <c r="R33" i="32"/>
  <c r="D34" i="32"/>
  <c r="E34" i="32"/>
  <c r="F34" i="32"/>
  <c r="G34" i="32"/>
  <c r="H34" i="32"/>
  <c r="I34" i="32"/>
  <c r="I36" i="32" s="1"/>
  <c r="J34" i="32"/>
  <c r="AU32" i="18"/>
  <c r="L34" i="32" s="1"/>
  <c r="P34" i="32"/>
  <c r="Q34" i="32"/>
  <c r="R34" i="32"/>
  <c r="S34" i="32"/>
  <c r="T34" i="32"/>
  <c r="U34" i="32"/>
  <c r="V34" i="32"/>
  <c r="AV32" i="18"/>
  <c r="X34" i="32" s="1"/>
  <c r="D35" i="32"/>
  <c r="E35" i="32"/>
  <c r="F35" i="32"/>
  <c r="G35" i="32"/>
  <c r="H35" i="32"/>
  <c r="H36" i="32" s="1"/>
  <c r="I35" i="32"/>
  <c r="J35" i="32"/>
  <c r="P35" i="32"/>
  <c r="Q35" i="32"/>
  <c r="R35" i="32"/>
  <c r="S35" i="32"/>
  <c r="T35" i="32"/>
  <c r="U35" i="32"/>
  <c r="V35" i="32"/>
  <c r="P26" i="4"/>
  <c r="K27" i="30" s="1"/>
  <c r="X29" i="6"/>
  <c r="I30" i="30" s="1"/>
  <c r="AB29" i="5"/>
  <c r="J30" i="30" s="1"/>
  <c r="P29" i="4"/>
  <c r="K30" i="30" s="1"/>
  <c r="W30" i="6"/>
  <c r="D31" i="30" s="1"/>
  <c r="AB33" i="5"/>
  <c r="J34" i="30" s="1"/>
  <c r="AE39" i="9"/>
  <c r="F30" i="31" s="1"/>
  <c r="AE41" i="9"/>
  <c r="F32" i="31" s="1"/>
  <c r="AC43" i="9"/>
  <c r="G32" i="31" s="1"/>
  <c r="C26" i="14"/>
  <c r="D26" i="14"/>
  <c r="E26" i="14"/>
  <c r="F26" i="14"/>
  <c r="G26" i="14"/>
  <c r="H26" i="14"/>
  <c r="I26" i="14"/>
  <c r="K26" i="14"/>
  <c r="L26" i="14"/>
  <c r="M26" i="14"/>
  <c r="N26" i="14"/>
  <c r="O26" i="14"/>
  <c r="P26" i="14"/>
  <c r="Q26" i="14"/>
  <c r="S26" i="14"/>
  <c r="T26" i="14"/>
  <c r="U26" i="14"/>
  <c r="D26" i="64" s="1"/>
  <c r="V26" i="14"/>
  <c r="G26" i="64" s="1"/>
  <c r="W26" i="14"/>
  <c r="AV26" i="14"/>
  <c r="C27" i="14"/>
  <c r="D27" i="14"/>
  <c r="E27" i="14"/>
  <c r="F27" i="14"/>
  <c r="G27" i="14"/>
  <c r="H27" i="14"/>
  <c r="I27" i="14"/>
  <c r="K27" i="14"/>
  <c r="L27" i="14"/>
  <c r="M27" i="14"/>
  <c r="N27" i="14"/>
  <c r="O27" i="14"/>
  <c r="P27" i="14"/>
  <c r="Q27" i="14"/>
  <c r="S27" i="14"/>
  <c r="T27" i="14"/>
  <c r="U27" i="14"/>
  <c r="D27" i="64" s="1"/>
  <c r="V27" i="14"/>
  <c r="G27" i="64" s="1"/>
  <c r="W27" i="14"/>
  <c r="AV27" i="14"/>
  <c r="C28" i="14"/>
  <c r="D28" i="14"/>
  <c r="E28" i="14"/>
  <c r="F28" i="14"/>
  <c r="G28" i="14"/>
  <c r="H28" i="14"/>
  <c r="I28" i="14"/>
  <c r="K28" i="14"/>
  <c r="L28" i="14"/>
  <c r="M28" i="14"/>
  <c r="N28" i="14"/>
  <c r="O28" i="14"/>
  <c r="P28" i="14"/>
  <c r="Q28" i="14"/>
  <c r="S28" i="14"/>
  <c r="T28" i="14"/>
  <c r="U28" i="14"/>
  <c r="D28" i="64" s="1"/>
  <c r="V28" i="14"/>
  <c r="G28" i="64" s="1"/>
  <c r="W28" i="14"/>
  <c r="AV28" i="14"/>
  <c r="C29" i="14"/>
  <c r="D29" i="14"/>
  <c r="E29" i="14"/>
  <c r="F29" i="14"/>
  <c r="G29" i="14"/>
  <c r="H29" i="14"/>
  <c r="I29" i="14"/>
  <c r="K29" i="14"/>
  <c r="L29" i="14"/>
  <c r="M29" i="14"/>
  <c r="N29" i="14"/>
  <c r="O29" i="14"/>
  <c r="P29" i="14"/>
  <c r="Q29" i="14"/>
  <c r="S29" i="14"/>
  <c r="T29" i="14"/>
  <c r="U29" i="14"/>
  <c r="D29" i="64" s="1"/>
  <c r="V29" i="14"/>
  <c r="G29" i="64" s="1"/>
  <c r="W29" i="14"/>
  <c r="AV29" i="14"/>
  <c r="C30" i="14"/>
  <c r="D30" i="14"/>
  <c r="E30" i="14"/>
  <c r="F30" i="14"/>
  <c r="G30" i="14"/>
  <c r="H30" i="14"/>
  <c r="I30" i="14"/>
  <c r="K30" i="14"/>
  <c r="L30" i="14"/>
  <c r="M30" i="14"/>
  <c r="N30" i="14"/>
  <c r="O30" i="14"/>
  <c r="P30" i="14"/>
  <c r="Q30" i="14"/>
  <c r="S30" i="14"/>
  <c r="T30" i="14"/>
  <c r="U30" i="14"/>
  <c r="D30" i="64" s="1"/>
  <c r="V30" i="14"/>
  <c r="G30" i="64" s="1"/>
  <c r="W30" i="14"/>
  <c r="AV30" i="14"/>
  <c r="C31" i="14"/>
  <c r="D31" i="14"/>
  <c r="E31" i="14"/>
  <c r="F31" i="14"/>
  <c r="G31" i="14"/>
  <c r="H31" i="14"/>
  <c r="I31" i="14"/>
  <c r="K31" i="14"/>
  <c r="L31" i="14"/>
  <c r="M31" i="14"/>
  <c r="N31" i="14"/>
  <c r="O31" i="14"/>
  <c r="P31" i="14"/>
  <c r="Q31" i="14"/>
  <c r="S31" i="14"/>
  <c r="T31" i="14"/>
  <c r="U31" i="14"/>
  <c r="D31" i="64" s="1"/>
  <c r="V31" i="14"/>
  <c r="G31" i="64" s="1"/>
  <c r="W31" i="14"/>
  <c r="AV31" i="14"/>
  <c r="C32" i="14"/>
  <c r="D32" i="14"/>
  <c r="E32" i="14"/>
  <c r="F32" i="14"/>
  <c r="G32" i="14"/>
  <c r="H32" i="14"/>
  <c r="I32" i="14"/>
  <c r="K32" i="14"/>
  <c r="L32" i="14"/>
  <c r="M32" i="14"/>
  <c r="N32" i="14"/>
  <c r="O32" i="14"/>
  <c r="P32" i="14"/>
  <c r="Q32" i="14"/>
  <c r="S32" i="14"/>
  <c r="T32" i="14"/>
  <c r="U32" i="14"/>
  <c r="D32" i="64" s="1"/>
  <c r="V32" i="14"/>
  <c r="G32" i="64" s="1"/>
  <c r="W32" i="14"/>
  <c r="AV32" i="14"/>
  <c r="C33" i="14"/>
  <c r="D33" i="14"/>
  <c r="E33" i="14"/>
  <c r="F33" i="14"/>
  <c r="G33" i="14"/>
  <c r="H33" i="14"/>
  <c r="I33" i="14"/>
  <c r="K33" i="14"/>
  <c r="L33" i="14"/>
  <c r="M33" i="14"/>
  <c r="N33" i="14"/>
  <c r="O33" i="14"/>
  <c r="P33" i="14"/>
  <c r="Q33" i="14"/>
  <c r="S33" i="14"/>
  <c r="T33" i="14"/>
  <c r="U33" i="14"/>
  <c r="D33" i="64" s="1"/>
  <c r="V33" i="14"/>
  <c r="G33" i="64" s="1"/>
  <c r="W33" i="14"/>
  <c r="AV33" i="14"/>
  <c r="D26" i="15"/>
  <c r="D26" i="29" s="1"/>
  <c r="E26" i="15"/>
  <c r="F26" i="15"/>
  <c r="G26" i="15"/>
  <c r="H26" i="15"/>
  <c r="I26" i="15"/>
  <c r="AH26" i="15"/>
  <c r="C27" i="15"/>
  <c r="E27" i="58" s="1"/>
  <c r="J27" i="58" s="1"/>
  <c r="D27" i="15"/>
  <c r="E27" i="15"/>
  <c r="F27" i="15"/>
  <c r="G27" i="15"/>
  <c r="H27" i="15"/>
  <c r="I27" i="15"/>
  <c r="AH27" i="15"/>
  <c r="D28" i="15"/>
  <c r="D28" i="29" s="1"/>
  <c r="E28" i="15"/>
  <c r="F28" i="15"/>
  <c r="G28" i="15"/>
  <c r="H28" i="15"/>
  <c r="I28" i="15"/>
  <c r="AH28" i="15"/>
  <c r="D29" i="15"/>
  <c r="D29" i="29" s="1"/>
  <c r="E29" i="15"/>
  <c r="F29" i="15"/>
  <c r="G29" i="15"/>
  <c r="H29" i="15"/>
  <c r="I29" i="15"/>
  <c r="AH29" i="15"/>
  <c r="C30" i="15"/>
  <c r="E30" i="58" s="1"/>
  <c r="D30" i="15"/>
  <c r="E30" i="15"/>
  <c r="F30" i="15"/>
  <c r="G30" i="15"/>
  <c r="H30" i="15"/>
  <c r="I30" i="15"/>
  <c r="AH30" i="15"/>
  <c r="C31" i="15"/>
  <c r="E31" i="58" s="1"/>
  <c r="D31" i="15"/>
  <c r="D31" i="29" s="1"/>
  <c r="E31" i="15"/>
  <c r="F31" i="15"/>
  <c r="G31" i="15"/>
  <c r="H31" i="15"/>
  <c r="I31" i="15"/>
  <c r="AH31" i="15"/>
  <c r="C32" i="15"/>
  <c r="E32" i="58" s="1"/>
  <c r="D32" i="15"/>
  <c r="E32" i="15"/>
  <c r="F32" i="15"/>
  <c r="G32" i="15"/>
  <c r="H32" i="15"/>
  <c r="I32" i="15"/>
  <c r="AH32" i="15"/>
  <c r="C33" i="15"/>
  <c r="E33" i="58" s="1"/>
  <c r="E33" i="15"/>
  <c r="F33" i="15"/>
  <c r="G33" i="15"/>
  <c r="H33" i="15"/>
  <c r="I33" i="15"/>
  <c r="AH33" i="15"/>
  <c r="C28" i="43"/>
  <c r="D28" i="43"/>
  <c r="E28" i="43"/>
  <c r="F28" i="43"/>
  <c r="I28" i="43"/>
  <c r="J28" i="43"/>
  <c r="K28" i="43"/>
  <c r="L28" i="43"/>
  <c r="M28" i="43"/>
  <c r="N28" i="43"/>
  <c r="O28" i="43"/>
  <c r="P28" i="43"/>
  <c r="Q28" i="43"/>
  <c r="R28" i="43"/>
  <c r="S28" i="43"/>
  <c r="T28" i="43"/>
  <c r="W28" i="43"/>
  <c r="X28" i="43"/>
  <c r="C30" i="43"/>
  <c r="D30" i="43"/>
  <c r="E30" i="43"/>
  <c r="F30" i="43"/>
  <c r="I30" i="43"/>
  <c r="J30" i="43"/>
  <c r="L30" i="43"/>
  <c r="N30" i="43"/>
  <c r="P30" i="43"/>
  <c r="R30" i="43"/>
  <c r="T30" i="43"/>
  <c r="X30" i="43"/>
  <c r="K30" i="43"/>
  <c r="M30" i="43"/>
  <c r="O30" i="43"/>
  <c r="Q30" i="43"/>
  <c r="S30" i="43"/>
  <c r="W30" i="43"/>
  <c r="C31" i="43"/>
  <c r="D31" i="43"/>
  <c r="E31" i="43"/>
  <c r="F31" i="43"/>
  <c r="I31" i="43"/>
  <c r="J31" i="43"/>
  <c r="K31" i="43"/>
  <c r="L31" i="43"/>
  <c r="M31" i="43"/>
  <c r="N31" i="43"/>
  <c r="O31" i="43"/>
  <c r="P31" i="43"/>
  <c r="Q31" i="43"/>
  <c r="R31" i="43"/>
  <c r="S31" i="43"/>
  <c r="T31" i="43"/>
  <c r="W31" i="43"/>
  <c r="X31" i="43"/>
  <c r="C32" i="43"/>
  <c r="D32" i="43"/>
  <c r="F32" i="43"/>
  <c r="J32" i="43"/>
  <c r="L32" i="43"/>
  <c r="N32" i="43"/>
  <c r="P32" i="43"/>
  <c r="R32" i="43"/>
  <c r="T32" i="43"/>
  <c r="X32" i="43"/>
  <c r="E32" i="43"/>
  <c r="I32" i="43"/>
  <c r="K32" i="43"/>
  <c r="M32" i="43"/>
  <c r="O32" i="43"/>
  <c r="Q32" i="43"/>
  <c r="S32" i="43"/>
  <c r="W32" i="43"/>
  <c r="C33" i="43"/>
  <c r="D33" i="43"/>
  <c r="E33" i="43"/>
  <c r="F33" i="43"/>
  <c r="I33" i="43"/>
  <c r="J33" i="43"/>
  <c r="K33" i="43"/>
  <c r="L33" i="43"/>
  <c r="N33" i="43"/>
  <c r="P33" i="43"/>
  <c r="R33" i="43"/>
  <c r="T33" i="43"/>
  <c r="X33" i="43"/>
  <c r="M33" i="43"/>
  <c r="O33" i="43"/>
  <c r="Q33" i="43"/>
  <c r="S33" i="43"/>
  <c r="W33" i="43"/>
  <c r="C34" i="43"/>
  <c r="D34" i="43"/>
  <c r="E34" i="43"/>
  <c r="F34" i="43"/>
  <c r="I34" i="43"/>
  <c r="J34" i="43"/>
  <c r="L34" i="43"/>
  <c r="N34" i="43"/>
  <c r="P34" i="43"/>
  <c r="R34" i="43"/>
  <c r="T34" i="43"/>
  <c r="X34" i="43"/>
  <c r="K34" i="43"/>
  <c r="M34" i="43"/>
  <c r="O34" i="43"/>
  <c r="Q34" i="43"/>
  <c r="S34" i="43"/>
  <c r="W34" i="43"/>
  <c r="C35" i="43"/>
  <c r="D35" i="43"/>
  <c r="E35" i="43"/>
  <c r="F35" i="43"/>
  <c r="I35" i="43"/>
  <c r="J35" i="43"/>
  <c r="K35" i="43"/>
  <c r="L35" i="43"/>
  <c r="M35" i="43"/>
  <c r="N35" i="43"/>
  <c r="O35" i="43"/>
  <c r="P35" i="43"/>
  <c r="Q35" i="43"/>
  <c r="R35" i="43"/>
  <c r="S35" i="43"/>
  <c r="T35" i="43"/>
  <c r="W35" i="43"/>
  <c r="X35" i="43"/>
  <c r="AU26" i="18"/>
  <c r="L28" i="32" s="1"/>
  <c r="AV26" i="18"/>
  <c r="X28" i="32" s="1"/>
  <c r="AV27" i="18"/>
  <c r="X29" i="32" s="1"/>
  <c r="AV28" i="18"/>
  <c r="X30" i="32" s="1"/>
  <c r="AU29" i="18"/>
  <c r="L31" i="32" s="1"/>
  <c r="AV29" i="18"/>
  <c r="X31" i="32" s="1"/>
  <c r="AU30" i="18"/>
  <c r="AV30" i="18"/>
  <c r="X32" i="32" s="1"/>
  <c r="AU31" i="18"/>
  <c r="L33" i="32" s="1"/>
  <c r="AV31" i="18"/>
  <c r="X33" i="32" s="1"/>
  <c r="AU33" i="18"/>
  <c r="L35" i="32" s="1"/>
  <c r="AV33" i="18"/>
  <c r="X35" i="32" s="1"/>
  <c r="O26" i="4"/>
  <c r="F27" i="30" s="1"/>
  <c r="O27" i="4"/>
  <c r="F28" i="30" s="1"/>
  <c r="P27" i="4"/>
  <c r="K28" i="30" s="1"/>
  <c r="O28" i="4"/>
  <c r="F29" i="30" s="1"/>
  <c r="O30" i="4"/>
  <c r="F31" i="30" s="1"/>
  <c r="P30" i="4"/>
  <c r="K31" i="30" s="1"/>
  <c r="O31" i="4"/>
  <c r="F32" i="30" s="1"/>
  <c r="P31" i="4"/>
  <c r="K32" i="30" s="1"/>
  <c r="O32" i="4"/>
  <c r="F33" i="30" s="1"/>
  <c r="P32" i="4"/>
  <c r="K33" i="30" s="1"/>
  <c r="O33" i="4"/>
  <c r="F34" i="30" s="1"/>
  <c r="P33" i="4"/>
  <c r="AA26" i="5"/>
  <c r="E27" i="30" s="1"/>
  <c r="AB26" i="5"/>
  <c r="J27" i="30" s="1"/>
  <c r="AA27" i="5"/>
  <c r="E28" i="30" s="1"/>
  <c r="AB27" i="5"/>
  <c r="J28" i="30" s="1"/>
  <c r="AA28" i="5"/>
  <c r="E29" i="30" s="1"/>
  <c r="AA30" i="5"/>
  <c r="E31" i="30" s="1"/>
  <c r="AB30" i="5"/>
  <c r="J31" i="30" s="1"/>
  <c r="AA31" i="5"/>
  <c r="E32" i="30" s="1"/>
  <c r="AB31" i="5"/>
  <c r="J32" i="30" s="1"/>
  <c r="AA32" i="5"/>
  <c r="E33" i="30" s="1"/>
  <c r="AB32" i="5"/>
  <c r="J33" i="30" s="1"/>
  <c r="AA33" i="5"/>
  <c r="E34" i="30" s="1"/>
  <c r="W26" i="6"/>
  <c r="D27" i="30" s="1"/>
  <c r="X26" i="6"/>
  <c r="I27" i="30" s="1"/>
  <c r="W27" i="6"/>
  <c r="D28" i="30" s="1"/>
  <c r="X27" i="6"/>
  <c r="I28" i="30" s="1"/>
  <c r="W28" i="6"/>
  <c r="D29" i="30" s="1"/>
  <c r="X30" i="6"/>
  <c r="I31" i="30" s="1"/>
  <c r="W31" i="6"/>
  <c r="D32" i="30" s="1"/>
  <c r="X31" i="6"/>
  <c r="I32" i="30" s="1"/>
  <c r="W32" i="6"/>
  <c r="D33" i="30" s="1"/>
  <c r="X32" i="6"/>
  <c r="I33" i="30" s="1"/>
  <c r="W33" i="6"/>
  <c r="D34" i="30" s="1"/>
  <c r="X33" i="6"/>
  <c r="I34" i="30" s="1"/>
  <c r="W43" i="9"/>
  <c r="Y43" i="9"/>
  <c r="G28" i="31" s="1"/>
  <c r="AB43" i="9"/>
  <c r="F31" i="33" s="1"/>
  <c r="AE35" i="9"/>
  <c r="F26" i="48" s="1"/>
  <c r="AE37" i="9"/>
  <c r="F28" i="48"/>
  <c r="AE40" i="9"/>
  <c r="H31" i="33"/>
  <c r="C7" i="2"/>
  <c r="C8" i="2"/>
  <c r="C9" i="2"/>
  <c r="C10" i="2"/>
  <c r="C11" i="2"/>
  <c r="C19" i="2"/>
  <c r="C20" i="2"/>
  <c r="C21" i="2"/>
  <c r="C12" i="2"/>
  <c r="C13" i="2"/>
  <c r="C22" i="2"/>
  <c r="C23" i="2"/>
  <c r="C24" i="2"/>
  <c r="C25" i="2"/>
  <c r="C26" i="2"/>
  <c r="C14" i="2"/>
  <c r="C15" i="2"/>
  <c r="S35" i="7"/>
  <c r="T35" i="7"/>
  <c r="A1" i="2"/>
  <c r="A1" i="84" s="1"/>
  <c r="AD34" i="15"/>
  <c r="K5" i="58"/>
  <c r="E8" i="15"/>
  <c r="F8" i="15"/>
  <c r="E9" i="15"/>
  <c r="F9" i="15"/>
  <c r="E10" i="15"/>
  <c r="F10" i="15"/>
  <c r="E11" i="15"/>
  <c r="F11" i="15"/>
  <c r="E12" i="15"/>
  <c r="F12" i="15"/>
  <c r="F7" i="15"/>
  <c r="F13" i="15"/>
  <c r="F14" i="15"/>
  <c r="F15" i="15"/>
  <c r="F16" i="15"/>
  <c r="F17" i="15"/>
  <c r="F18" i="15"/>
  <c r="F19" i="15"/>
  <c r="F20" i="15"/>
  <c r="F21" i="15"/>
  <c r="F22" i="15"/>
  <c r="F23" i="15"/>
  <c r="F24" i="15"/>
  <c r="F25" i="15"/>
  <c r="E13" i="15"/>
  <c r="E14" i="15"/>
  <c r="E15" i="15"/>
  <c r="E16" i="15"/>
  <c r="D16" i="15"/>
  <c r="D16" i="29" s="1"/>
  <c r="G16" i="15"/>
  <c r="H16" i="15"/>
  <c r="I16" i="15"/>
  <c r="E17" i="15"/>
  <c r="E18" i="15"/>
  <c r="E19" i="15"/>
  <c r="E20" i="15"/>
  <c r="E21" i="15"/>
  <c r="E22" i="15"/>
  <c r="E23" i="15"/>
  <c r="E24" i="15"/>
  <c r="E25" i="15"/>
  <c r="AH8" i="15"/>
  <c r="AH9" i="15"/>
  <c r="AH10" i="15"/>
  <c r="AH11" i="15"/>
  <c r="AH12" i="15"/>
  <c r="AH13" i="15"/>
  <c r="AH14" i="15"/>
  <c r="AH15" i="15"/>
  <c r="AH16" i="15"/>
  <c r="AH17" i="15"/>
  <c r="AH18" i="15"/>
  <c r="AH19" i="15"/>
  <c r="AH20" i="15"/>
  <c r="AH21" i="15"/>
  <c r="AH22" i="15"/>
  <c r="AH23" i="15"/>
  <c r="AH24" i="15"/>
  <c r="AH25" i="15"/>
  <c r="AH7" i="15"/>
  <c r="AI4" i="2"/>
  <c r="AA4" i="2"/>
  <c r="F25" i="74"/>
  <c r="F24" i="74"/>
  <c r="F23" i="74"/>
  <c r="F22" i="74"/>
  <c r="F21" i="74"/>
  <c r="F20" i="74"/>
  <c r="F19" i="74"/>
  <c r="F18" i="74"/>
  <c r="F17" i="74"/>
  <c r="F16" i="74"/>
  <c r="F15" i="74"/>
  <c r="F14" i="74"/>
  <c r="F13" i="74"/>
  <c r="F12" i="74"/>
  <c r="F11" i="74"/>
  <c r="F10" i="74"/>
  <c r="F9" i="74"/>
  <c r="F8" i="74"/>
  <c r="F7" i="74"/>
  <c r="B7" i="74"/>
  <c r="A7" i="74"/>
  <c r="AI34" i="14"/>
  <c r="K8" i="14"/>
  <c r="K9" i="14"/>
  <c r="K10" i="14"/>
  <c r="K11" i="14"/>
  <c r="K12" i="14"/>
  <c r="K13" i="14"/>
  <c r="K14" i="14"/>
  <c r="K15" i="14"/>
  <c r="K16" i="14"/>
  <c r="C16" i="14"/>
  <c r="D16" i="14"/>
  <c r="E16" i="14"/>
  <c r="F16" i="14"/>
  <c r="G16" i="14"/>
  <c r="H16" i="14"/>
  <c r="I16" i="14"/>
  <c r="L16" i="14"/>
  <c r="M16" i="14"/>
  <c r="N16" i="14"/>
  <c r="O16" i="14"/>
  <c r="P16" i="14"/>
  <c r="Q16" i="14"/>
  <c r="S16" i="14"/>
  <c r="T16" i="14"/>
  <c r="U16" i="14"/>
  <c r="D16" i="64" s="1"/>
  <c r="V16" i="14"/>
  <c r="G16" i="64" s="1"/>
  <c r="W16" i="14"/>
  <c r="K17" i="14"/>
  <c r="K18" i="14"/>
  <c r="K19" i="14"/>
  <c r="K20" i="14"/>
  <c r="K21" i="14"/>
  <c r="K22" i="14"/>
  <c r="K23" i="14"/>
  <c r="K24" i="14"/>
  <c r="C24" i="14"/>
  <c r="D24" i="14"/>
  <c r="E24" i="14"/>
  <c r="F24" i="14"/>
  <c r="G24" i="14"/>
  <c r="H24" i="14"/>
  <c r="I24" i="14"/>
  <c r="L24" i="14"/>
  <c r="M24" i="14"/>
  <c r="N24" i="14"/>
  <c r="O24" i="14"/>
  <c r="P24" i="14"/>
  <c r="Q24" i="14"/>
  <c r="S24" i="14"/>
  <c r="T24" i="14"/>
  <c r="U24" i="14"/>
  <c r="D24" i="64" s="1"/>
  <c r="V24" i="14"/>
  <c r="G24" i="64" s="1"/>
  <c r="W24" i="14"/>
  <c r="K25" i="14"/>
  <c r="K7" i="14"/>
  <c r="C8" i="15"/>
  <c r="E8" i="58" s="1"/>
  <c r="C9" i="15"/>
  <c r="C10" i="15"/>
  <c r="E10" i="58" s="1"/>
  <c r="C11" i="15"/>
  <c r="F11" i="44" s="1"/>
  <c r="C12" i="15"/>
  <c r="C13" i="15"/>
  <c r="E13" i="58" s="1"/>
  <c r="C14" i="15"/>
  <c r="E14" i="58" s="1"/>
  <c r="C15" i="15"/>
  <c r="C15" i="29" s="1"/>
  <c r="C16" i="15"/>
  <c r="C16" i="29" s="1"/>
  <c r="E16" i="29" s="1"/>
  <c r="G16" i="29" s="1"/>
  <c r="C17" i="15"/>
  <c r="E17" i="58" s="1"/>
  <c r="C18" i="15"/>
  <c r="E18" i="58" s="1"/>
  <c r="C19" i="15"/>
  <c r="F19" i="44" s="1"/>
  <c r="C20" i="15"/>
  <c r="E20" i="58" s="1"/>
  <c r="C21" i="15"/>
  <c r="E21" i="58" s="1"/>
  <c r="C22" i="15"/>
  <c r="C22" i="29" s="1"/>
  <c r="C23" i="15"/>
  <c r="E23" i="58" s="1"/>
  <c r="C24" i="15"/>
  <c r="C24" i="29" s="1"/>
  <c r="C25" i="15"/>
  <c r="E25" i="58" s="1"/>
  <c r="C7" i="15"/>
  <c r="E7" i="74" s="1"/>
  <c r="X27" i="43"/>
  <c r="W27" i="43"/>
  <c r="T27" i="43"/>
  <c r="S27" i="43"/>
  <c r="R27" i="43"/>
  <c r="Q27" i="43"/>
  <c r="P27" i="43"/>
  <c r="O27" i="43"/>
  <c r="N27" i="43"/>
  <c r="M27" i="43"/>
  <c r="L27" i="43"/>
  <c r="K27" i="43"/>
  <c r="J27" i="43"/>
  <c r="I27" i="43"/>
  <c r="F27" i="43"/>
  <c r="E27" i="43"/>
  <c r="D27" i="43"/>
  <c r="C27" i="43"/>
  <c r="X26" i="43"/>
  <c r="W26" i="43"/>
  <c r="T26" i="43"/>
  <c r="S26" i="43"/>
  <c r="R26" i="43"/>
  <c r="Q26" i="43"/>
  <c r="P26" i="43"/>
  <c r="O26" i="43"/>
  <c r="N26" i="43"/>
  <c r="M26" i="43"/>
  <c r="L26" i="43"/>
  <c r="K26" i="43"/>
  <c r="C26" i="43"/>
  <c r="E26" i="43"/>
  <c r="I26" i="43"/>
  <c r="D26" i="43"/>
  <c r="F26" i="43"/>
  <c r="J26" i="43"/>
  <c r="X25" i="43"/>
  <c r="W25" i="43"/>
  <c r="T25" i="43"/>
  <c r="S25" i="43"/>
  <c r="R25" i="43"/>
  <c r="Q25" i="43"/>
  <c r="P25" i="43"/>
  <c r="O25" i="43"/>
  <c r="N25" i="43"/>
  <c r="M25" i="43"/>
  <c r="L25" i="43"/>
  <c r="K25" i="43"/>
  <c r="J25" i="43"/>
  <c r="I25" i="43"/>
  <c r="F25" i="43"/>
  <c r="E25" i="43"/>
  <c r="D25" i="43"/>
  <c r="C25" i="43"/>
  <c r="X24" i="43"/>
  <c r="W24" i="43"/>
  <c r="T24" i="43"/>
  <c r="S24" i="43"/>
  <c r="R24" i="43"/>
  <c r="Q24" i="43"/>
  <c r="P24" i="43"/>
  <c r="O24" i="43"/>
  <c r="N24" i="43"/>
  <c r="M24" i="43"/>
  <c r="L24" i="43"/>
  <c r="K24" i="43"/>
  <c r="J24" i="43"/>
  <c r="I24" i="43"/>
  <c r="F24" i="43"/>
  <c r="E24" i="43"/>
  <c r="C24" i="43"/>
  <c r="D24" i="43"/>
  <c r="X23" i="43"/>
  <c r="W23" i="43"/>
  <c r="T23" i="43"/>
  <c r="S23" i="43"/>
  <c r="R23" i="43"/>
  <c r="Q23" i="43"/>
  <c r="P23" i="43"/>
  <c r="O23" i="43"/>
  <c r="N23" i="43"/>
  <c r="M23" i="43"/>
  <c r="L23" i="43"/>
  <c r="K23" i="43"/>
  <c r="J23" i="43"/>
  <c r="I23" i="43"/>
  <c r="C23" i="43"/>
  <c r="E23" i="43"/>
  <c r="F23" i="43"/>
  <c r="D23" i="43"/>
  <c r="X22" i="43"/>
  <c r="W22" i="43"/>
  <c r="T22" i="43"/>
  <c r="S22" i="43"/>
  <c r="R22" i="43"/>
  <c r="Q22" i="43"/>
  <c r="P22" i="43"/>
  <c r="O22" i="43"/>
  <c r="N22" i="43"/>
  <c r="M22" i="43"/>
  <c r="L22" i="43"/>
  <c r="K22" i="43"/>
  <c r="C22" i="43"/>
  <c r="E22" i="43"/>
  <c r="I22" i="43"/>
  <c r="J22" i="43"/>
  <c r="F22" i="43"/>
  <c r="D22" i="43"/>
  <c r="X21" i="43"/>
  <c r="W21" i="43"/>
  <c r="T21" i="43"/>
  <c r="S21" i="43"/>
  <c r="R21" i="43"/>
  <c r="Q21" i="43"/>
  <c r="P21" i="43"/>
  <c r="O21" i="43"/>
  <c r="N21" i="43"/>
  <c r="M21" i="43"/>
  <c r="L21" i="43"/>
  <c r="K21" i="43"/>
  <c r="J21" i="43"/>
  <c r="I21" i="43"/>
  <c r="F21" i="43"/>
  <c r="E21" i="43"/>
  <c r="D21" i="43"/>
  <c r="C21" i="43"/>
  <c r="X20" i="43"/>
  <c r="W20" i="43"/>
  <c r="T20" i="43"/>
  <c r="S20" i="43"/>
  <c r="R20" i="43"/>
  <c r="Q20" i="43"/>
  <c r="P20" i="43"/>
  <c r="O20" i="43"/>
  <c r="N20" i="43"/>
  <c r="M20" i="43"/>
  <c r="L20" i="43"/>
  <c r="K20" i="43"/>
  <c r="J20" i="43"/>
  <c r="I20" i="43"/>
  <c r="F20" i="43"/>
  <c r="E20" i="43"/>
  <c r="C20" i="43"/>
  <c r="D20" i="43"/>
  <c r="X19" i="43"/>
  <c r="W19" i="43"/>
  <c r="T19" i="43"/>
  <c r="S19" i="43"/>
  <c r="R19" i="43"/>
  <c r="Q19" i="43"/>
  <c r="P19" i="43"/>
  <c r="O19" i="43"/>
  <c r="N19" i="43"/>
  <c r="M19" i="43"/>
  <c r="L19" i="43"/>
  <c r="K19" i="43"/>
  <c r="J19" i="43"/>
  <c r="I19" i="43"/>
  <c r="C19" i="43"/>
  <c r="E19" i="43"/>
  <c r="F19" i="43"/>
  <c r="D19" i="43"/>
  <c r="X18" i="43"/>
  <c r="W18" i="43"/>
  <c r="T18" i="43"/>
  <c r="S18" i="43"/>
  <c r="R18" i="43"/>
  <c r="Q18" i="43"/>
  <c r="P18" i="43"/>
  <c r="O18" i="43"/>
  <c r="N18" i="43"/>
  <c r="M18" i="43"/>
  <c r="L18" i="43"/>
  <c r="K18" i="43"/>
  <c r="C18" i="43"/>
  <c r="E18" i="43"/>
  <c r="I18" i="43"/>
  <c r="D18" i="43"/>
  <c r="F18" i="43"/>
  <c r="J18" i="43"/>
  <c r="X17" i="43"/>
  <c r="W17" i="43"/>
  <c r="T17" i="43"/>
  <c r="S17" i="43"/>
  <c r="R17" i="43"/>
  <c r="Q17" i="43"/>
  <c r="P17" i="43"/>
  <c r="O17" i="43"/>
  <c r="N17" i="43"/>
  <c r="M17" i="43"/>
  <c r="L17" i="43"/>
  <c r="K17" i="43"/>
  <c r="J17" i="43"/>
  <c r="I17" i="43"/>
  <c r="F17" i="43"/>
  <c r="E17" i="43"/>
  <c r="D17" i="43"/>
  <c r="C17" i="43"/>
  <c r="X16" i="43"/>
  <c r="W16" i="43"/>
  <c r="T16" i="43"/>
  <c r="S16" i="43"/>
  <c r="R16" i="43"/>
  <c r="Q16" i="43"/>
  <c r="P16" i="43"/>
  <c r="O16" i="43"/>
  <c r="N16" i="43"/>
  <c r="M16" i="43"/>
  <c r="L16" i="43"/>
  <c r="K16" i="43"/>
  <c r="J16" i="43"/>
  <c r="I16" i="43"/>
  <c r="F16" i="43"/>
  <c r="E16" i="43"/>
  <c r="C16" i="43"/>
  <c r="D16" i="43"/>
  <c r="X15" i="43"/>
  <c r="W15" i="43"/>
  <c r="T15" i="43"/>
  <c r="S15" i="43"/>
  <c r="R15" i="43"/>
  <c r="Q15" i="43"/>
  <c r="P15" i="43"/>
  <c r="O15" i="43"/>
  <c r="N15" i="43"/>
  <c r="M15" i="43"/>
  <c r="L15" i="43"/>
  <c r="K15" i="43"/>
  <c r="J15" i="43"/>
  <c r="I15" i="43"/>
  <c r="F15" i="43"/>
  <c r="E15" i="43"/>
  <c r="D15" i="43"/>
  <c r="C15" i="43"/>
  <c r="X14" i="43"/>
  <c r="W14" i="43"/>
  <c r="T14" i="43"/>
  <c r="S14" i="43"/>
  <c r="S9" i="43"/>
  <c r="S10" i="43"/>
  <c r="S11" i="43"/>
  <c r="S12" i="43"/>
  <c r="S13" i="43"/>
  <c r="R14" i="43"/>
  <c r="Q14" i="43"/>
  <c r="P14" i="43"/>
  <c r="O14" i="43"/>
  <c r="N14" i="43"/>
  <c r="M14" i="43"/>
  <c r="L14" i="43"/>
  <c r="K14" i="43"/>
  <c r="J14" i="43"/>
  <c r="I14" i="43"/>
  <c r="F14" i="43"/>
  <c r="E14" i="43"/>
  <c r="D14" i="43"/>
  <c r="C14" i="43"/>
  <c r="X13" i="43"/>
  <c r="W13" i="43"/>
  <c r="W9" i="43"/>
  <c r="W10" i="43"/>
  <c r="W11" i="43"/>
  <c r="W12" i="43"/>
  <c r="T13" i="43"/>
  <c r="R13" i="43"/>
  <c r="Q13" i="43"/>
  <c r="P13" i="43"/>
  <c r="O13" i="43"/>
  <c r="N13" i="43"/>
  <c r="M13" i="43"/>
  <c r="M9" i="43"/>
  <c r="M10" i="43"/>
  <c r="M11" i="43"/>
  <c r="M12" i="43"/>
  <c r="L13" i="43"/>
  <c r="K13" i="43"/>
  <c r="J13" i="43"/>
  <c r="I13" i="43"/>
  <c r="F13" i="43"/>
  <c r="E13" i="43"/>
  <c r="D13" i="43"/>
  <c r="C13" i="43"/>
  <c r="X12" i="43"/>
  <c r="T12" i="43"/>
  <c r="R12" i="43"/>
  <c r="Q12" i="43"/>
  <c r="P12" i="43"/>
  <c r="O12" i="43"/>
  <c r="N12" i="43"/>
  <c r="L12" i="43"/>
  <c r="K12" i="43"/>
  <c r="J12" i="43"/>
  <c r="I12" i="43"/>
  <c r="F12" i="43"/>
  <c r="E12" i="43"/>
  <c r="C12" i="43"/>
  <c r="D12" i="43"/>
  <c r="X11" i="43"/>
  <c r="T11" i="43"/>
  <c r="R11" i="43"/>
  <c r="Q11" i="43"/>
  <c r="P11" i="43"/>
  <c r="O11" i="43"/>
  <c r="N11" i="43"/>
  <c r="L11" i="43"/>
  <c r="K11" i="43"/>
  <c r="J11" i="43"/>
  <c r="I11" i="43"/>
  <c r="F11" i="43"/>
  <c r="E11" i="43"/>
  <c r="D11" i="43"/>
  <c r="C11" i="43"/>
  <c r="X10" i="43"/>
  <c r="T10" i="43"/>
  <c r="T9" i="43"/>
  <c r="R10" i="43"/>
  <c r="Q10" i="43"/>
  <c r="P10" i="43"/>
  <c r="O10" i="43"/>
  <c r="N10" i="43"/>
  <c r="L10" i="43"/>
  <c r="D10" i="43"/>
  <c r="F10" i="43"/>
  <c r="J10" i="43"/>
  <c r="C10" i="43"/>
  <c r="E10" i="43"/>
  <c r="I10" i="43"/>
  <c r="K10" i="43"/>
  <c r="X9" i="43"/>
  <c r="R9" i="43"/>
  <c r="Q9" i="43"/>
  <c r="P9" i="43"/>
  <c r="O9" i="43"/>
  <c r="N9" i="43"/>
  <c r="L9" i="43"/>
  <c r="K9" i="43"/>
  <c r="J9" i="43"/>
  <c r="I9" i="43"/>
  <c r="F9" i="43"/>
  <c r="E9" i="43"/>
  <c r="D9" i="43"/>
  <c r="C9" i="43"/>
  <c r="B20" i="65"/>
  <c r="H10" i="71"/>
  <c r="L10" i="71" s="1"/>
  <c r="H9" i="71"/>
  <c r="H8" i="71"/>
  <c r="C5" i="23"/>
  <c r="C6" i="23"/>
  <c r="C7" i="23"/>
  <c r="C8" i="23"/>
  <c r="C9" i="23"/>
  <c r="C10" i="23"/>
  <c r="C11" i="23"/>
  <c r="C12" i="23"/>
  <c r="C13" i="23"/>
  <c r="C14" i="23"/>
  <c r="C15" i="23"/>
  <c r="C16" i="23"/>
  <c r="C17" i="23"/>
  <c r="C18" i="23"/>
  <c r="C19" i="23"/>
  <c r="C20" i="23"/>
  <c r="C21" i="23"/>
  <c r="C22" i="23"/>
  <c r="C23" i="23"/>
  <c r="C24" i="23"/>
  <c r="C25" i="23"/>
  <c r="C26" i="23"/>
  <c r="C27" i="23"/>
  <c r="C28" i="23"/>
  <c r="C29" i="23"/>
  <c r="C4" i="23"/>
  <c r="W25" i="14"/>
  <c r="V25" i="14"/>
  <c r="G25" i="64" s="1"/>
  <c r="U25" i="14"/>
  <c r="D25" i="64" s="1"/>
  <c r="T25" i="14"/>
  <c r="S25" i="14"/>
  <c r="Q25" i="14"/>
  <c r="P25" i="14"/>
  <c r="O25" i="14"/>
  <c r="N25" i="14"/>
  <c r="M25" i="14"/>
  <c r="L25" i="14"/>
  <c r="I25" i="14"/>
  <c r="H25" i="14"/>
  <c r="G25" i="14"/>
  <c r="F25" i="14"/>
  <c r="E25" i="14"/>
  <c r="D25" i="14"/>
  <c r="C25" i="14"/>
  <c r="W23" i="14"/>
  <c r="V23" i="14"/>
  <c r="G23" i="64" s="1"/>
  <c r="U23" i="14"/>
  <c r="D23" i="64" s="1"/>
  <c r="T23" i="14"/>
  <c r="S23" i="14"/>
  <c r="Q23" i="14"/>
  <c r="P23" i="14"/>
  <c r="O23" i="14"/>
  <c r="N23" i="14"/>
  <c r="M23" i="14"/>
  <c r="L23" i="14"/>
  <c r="I23" i="14"/>
  <c r="H23" i="14"/>
  <c r="G23" i="14"/>
  <c r="F23" i="14"/>
  <c r="E23" i="14"/>
  <c r="D23" i="14"/>
  <c r="C23" i="14"/>
  <c r="W22" i="14"/>
  <c r="V22" i="14"/>
  <c r="G22" i="64" s="1"/>
  <c r="U22" i="14"/>
  <c r="D22" i="64" s="1"/>
  <c r="T22" i="14"/>
  <c r="S22" i="14"/>
  <c r="Q22" i="14"/>
  <c r="P22" i="14"/>
  <c r="O22" i="14"/>
  <c r="N22" i="14"/>
  <c r="M22" i="14"/>
  <c r="L22" i="14"/>
  <c r="I22" i="14"/>
  <c r="H22" i="14"/>
  <c r="G22" i="14"/>
  <c r="F22" i="14"/>
  <c r="E22" i="14"/>
  <c r="D22" i="14"/>
  <c r="C22" i="14"/>
  <c r="W21" i="14"/>
  <c r="P21" i="58" s="1"/>
  <c r="V21" i="14"/>
  <c r="G21" i="64" s="1"/>
  <c r="U21" i="14"/>
  <c r="D21" i="64" s="1"/>
  <c r="T21" i="14"/>
  <c r="S21" i="14"/>
  <c r="Q21" i="14"/>
  <c r="P21" i="14"/>
  <c r="O21" i="14"/>
  <c r="O7" i="14"/>
  <c r="O8" i="14"/>
  <c r="O9" i="14"/>
  <c r="O10" i="14"/>
  <c r="O11" i="14"/>
  <c r="O12" i="14"/>
  <c r="O13" i="14"/>
  <c r="O14" i="14"/>
  <c r="O15" i="14"/>
  <c r="O17" i="14"/>
  <c r="O18" i="14"/>
  <c r="O19" i="14"/>
  <c r="O20" i="14"/>
  <c r="N21" i="14"/>
  <c r="M21" i="14"/>
  <c r="L21" i="14"/>
  <c r="I21" i="14"/>
  <c r="H21" i="14"/>
  <c r="G21" i="14"/>
  <c r="F21" i="14"/>
  <c r="E21" i="14"/>
  <c r="D21" i="14"/>
  <c r="C21" i="14"/>
  <c r="W20" i="14"/>
  <c r="V20" i="14"/>
  <c r="G20" i="64" s="1"/>
  <c r="U20" i="14"/>
  <c r="D20" i="64" s="1"/>
  <c r="T20" i="14"/>
  <c r="S20" i="14"/>
  <c r="Q20" i="14"/>
  <c r="P20" i="14"/>
  <c r="N20" i="14"/>
  <c r="M20" i="14"/>
  <c r="L20" i="14"/>
  <c r="I20" i="14"/>
  <c r="H20" i="14"/>
  <c r="G20" i="14"/>
  <c r="F20" i="14"/>
  <c r="E20" i="14"/>
  <c r="D20" i="14"/>
  <c r="C20" i="14"/>
  <c r="W19" i="14"/>
  <c r="V19" i="14"/>
  <c r="G19" i="64" s="1"/>
  <c r="U19" i="14"/>
  <c r="D19" i="64" s="1"/>
  <c r="T19" i="14"/>
  <c r="S19" i="14"/>
  <c r="Q19" i="14"/>
  <c r="P19" i="14"/>
  <c r="N19" i="14"/>
  <c r="M19" i="14"/>
  <c r="L19" i="14"/>
  <c r="I19" i="14"/>
  <c r="H19" i="14"/>
  <c r="G19" i="14"/>
  <c r="F19" i="14"/>
  <c r="E19" i="14"/>
  <c r="D19" i="14"/>
  <c r="C19" i="14"/>
  <c r="W18" i="14"/>
  <c r="V18" i="14"/>
  <c r="G18" i="64" s="1"/>
  <c r="U18" i="14"/>
  <c r="D18" i="64" s="1"/>
  <c r="T18" i="14"/>
  <c r="S18" i="14"/>
  <c r="Q18" i="14"/>
  <c r="P18" i="14"/>
  <c r="N18" i="14"/>
  <c r="M18" i="14"/>
  <c r="L18" i="14"/>
  <c r="I18" i="14"/>
  <c r="H18" i="14"/>
  <c r="G18" i="14"/>
  <c r="F18" i="14"/>
  <c r="E18" i="14"/>
  <c r="D18" i="14"/>
  <c r="C18" i="14"/>
  <c r="W17" i="14"/>
  <c r="P17" i="58" s="1"/>
  <c r="V17" i="14"/>
  <c r="G17" i="64" s="1"/>
  <c r="U17" i="14"/>
  <c r="D17" i="64" s="1"/>
  <c r="T17" i="14"/>
  <c r="S17" i="14"/>
  <c r="Q17" i="14"/>
  <c r="P17" i="14"/>
  <c r="N17" i="14"/>
  <c r="M17" i="14"/>
  <c r="L17" i="14"/>
  <c r="I17" i="14"/>
  <c r="H17" i="14"/>
  <c r="G17" i="14"/>
  <c r="F17" i="14"/>
  <c r="E17" i="14"/>
  <c r="D17" i="14"/>
  <c r="C17" i="14"/>
  <c r="W15" i="14"/>
  <c r="V15" i="14"/>
  <c r="G15" i="64" s="1"/>
  <c r="U15" i="14"/>
  <c r="D15" i="64" s="1"/>
  <c r="T15" i="14"/>
  <c r="S15" i="14"/>
  <c r="Q15" i="14"/>
  <c r="P15" i="14"/>
  <c r="N15" i="14"/>
  <c r="M15" i="14"/>
  <c r="L15" i="14"/>
  <c r="L7" i="14"/>
  <c r="L8" i="14"/>
  <c r="L9" i="14"/>
  <c r="L10" i="14"/>
  <c r="L11" i="14"/>
  <c r="L12" i="14"/>
  <c r="L13" i="14"/>
  <c r="L14" i="14"/>
  <c r="I15" i="14"/>
  <c r="H15" i="14"/>
  <c r="G15" i="14"/>
  <c r="F15" i="14"/>
  <c r="E15" i="14"/>
  <c r="D15" i="14"/>
  <c r="C15" i="14"/>
  <c r="W14" i="14"/>
  <c r="V14" i="14"/>
  <c r="G14" i="64" s="1"/>
  <c r="U14" i="14"/>
  <c r="D14" i="64" s="1"/>
  <c r="T14" i="14"/>
  <c r="S14" i="14"/>
  <c r="Q14" i="14"/>
  <c r="P14" i="14"/>
  <c r="N14" i="14"/>
  <c r="M14" i="14"/>
  <c r="I14" i="14"/>
  <c r="H14" i="14"/>
  <c r="G14" i="14"/>
  <c r="F14" i="14"/>
  <c r="E14" i="14"/>
  <c r="D14" i="14"/>
  <c r="C14" i="14"/>
  <c r="W13" i="14"/>
  <c r="V13" i="14"/>
  <c r="G13" i="64" s="1"/>
  <c r="U13" i="14"/>
  <c r="D13" i="64" s="1"/>
  <c r="T13" i="14"/>
  <c r="S13" i="14"/>
  <c r="Q13" i="14"/>
  <c r="P13" i="14"/>
  <c r="N13" i="14"/>
  <c r="M13" i="14"/>
  <c r="I13" i="14"/>
  <c r="H13" i="14"/>
  <c r="G13" i="14"/>
  <c r="F13" i="14"/>
  <c r="E13" i="14"/>
  <c r="D13" i="14"/>
  <c r="C13" i="14"/>
  <c r="W12" i="14"/>
  <c r="V12" i="14"/>
  <c r="G12" i="64" s="1"/>
  <c r="U12" i="14"/>
  <c r="D12" i="64" s="1"/>
  <c r="T12" i="14"/>
  <c r="S12" i="14"/>
  <c r="Q12" i="14"/>
  <c r="P12" i="14"/>
  <c r="N12" i="14"/>
  <c r="M12" i="14"/>
  <c r="I12" i="14"/>
  <c r="H12" i="14"/>
  <c r="G12" i="14"/>
  <c r="F12" i="14"/>
  <c r="E12" i="14"/>
  <c r="D12" i="14"/>
  <c r="C12" i="14"/>
  <c r="W11" i="14"/>
  <c r="V11" i="14"/>
  <c r="G11" i="64" s="1"/>
  <c r="U11" i="14"/>
  <c r="T11" i="14"/>
  <c r="S11" i="14"/>
  <c r="Q11" i="14"/>
  <c r="P11" i="14"/>
  <c r="N11" i="14"/>
  <c r="M11" i="14"/>
  <c r="I11" i="14"/>
  <c r="H11" i="14"/>
  <c r="G11" i="14"/>
  <c r="F11" i="14"/>
  <c r="E11" i="14"/>
  <c r="D11" i="14"/>
  <c r="C11" i="14"/>
  <c r="W10" i="14"/>
  <c r="V10" i="14"/>
  <c r="G10" i="64" s="1"/>
  <c r="U10" i="14"/>
  <c r="D10" i="64" s="1"/>
  <c r="T10" i="14"/>
  <c r="S10" i="14"/>
  <c r="Q10" i="14"/>
  <c r="P10" i="14"/>
  <c r="N10" i="14"/>
  <c r="M10" i="14"/>
  <c r="M7" i="14"/>
  <c r="M8" i="14"/>
  <c r="M9" i="14"/>
  <c r="I10" i="14"/>
  <c r="H10" i="14"/>
  <c r="G10" i="14"/>
  <c r="F10" i="14"/>
  <c r="E10" i="14"/>
  <c r="D10" i="14"/>
  <c r="C10" i="14"/>
  <c r="W9" i="14"/>
  <c r="V9" i="14"/>
  <c r="G9" i="64" s="1"/>
  <c r="U9" i="14"/>
  <c r="T9" i="14"/>
  <c r="S9" i="14"/>
  <c r="Q9" i="14"/>
  <c r="P9" i="14"/>
  <c r="P7" i="14"/>
  <c r="P8" i="14"/>
  <c r="N9" i="14"/>
  <c r="I9" i="14"/>
  <c r="H9" i="14"/>
  <c r="G9" i="14"/>
  <c r="F9" i="14"/>
  <c r="F7" i="14"/>
  <c r="F8" i="14"/>
  <c r="E9" i="14"/>
  <c r="D9" i="14"/>
  <c r="C9" i="14"/>
  <c r="W8" i="14"/>
  <c r="V8" i="14"/>
  <c r="G8" i="64" s="1"/>
  <c r="U8" i="14"/>
  <c r="D8" i="64" s="1"/>
  <c r="T8" i="14"/>
  <c r="T7" i="14"/>
  <c r="S8" i="14"/>
  <c r="Q8" i="14"/>
  <c r="N8" i="14"/>
  <c r="I8" i="14"/>
  <c r="I7" i="14"/>
  <c r="H8" i="14"/>
  <c r="G8" i="14"/>
  <c r="E8" i="14"/>
  <c r="D8" i="14"/>
  <c r="C8" i="14"/>
  <c r="W7" i="14"/>
  <c r="V7" i="14"/>
  <c r="G7" i="64" s="1"/>
  <c r="U7" i="14"/>
  <c r="D7" i="64" s="1"/>
  <c r="S7" i="14"/>
  <c r="Q7" i="14"/>
  <c r="N7" i="14"/>
  <c r="H7" i="14"/>
  <c r="G7" i="14"/>
  <c r="E7" i="14"/>
  <c r="D7" i="14"/>
  <c r="C7" i="14"/>
  <c r="AU34" i="14"/>
  <c r="AT34" i="14"/>
  <c r="AS34" i="14"/>
  <c r="AR34" i="14"/>
  <c r="AQ34" i="14"/>
  <c r="AO34" i="14"/>
  <c r="AN34" i="14"/>
  <c r="AM34" i="14"/>
  <c r="AL34" i="14"/>
  <c r="AK34" i="14"/>
  <c r="AJ34" i="14"/>
  <c r="AG34" i="14"/>
  <c r="AF34" i="14"/>
  <c r="AE34" i="14"/>
  <c r="AD34" i="14"/>
  <c r="AC34" i="14"/>
  <c r="AB34" i="14"/>
  <c r="AA34" i="14"/>
  <c r="AV25" i="14"/>
  <c r="AV24" i="14"/>
  <c r="AV23" i="14"/>
  <c r="AV22" i="14"/>
  <c r="AV21" i="14"/>
  <c r="AV20" i="14"/>
  <c r="AV19" i="14"/>
  <c r="AV18" i="14"/>
  <c r="AV17" i="14"/>
  <c r="AV16" i="14"/>
  <c r="AV15" i="14"/>
  <c r="AV14" i="14"/>
  <c r="AV13" i="14"/>
  <c r="AV12" i="14"/>
  <c r="AV11" i="14"/>
  <c r="AV10" i="14"/>
  <c r="AV9" i="14"/>
  <c r="AV8" i="14"/>
  <c r="AW7" i="14"/>
  <c r="AV7" i="14"/>
  <c r="I25" i="15"/>
  <c r="H25" i="15"/>
  <c r="G25" i="15"/>
  <c r="D25" i="15"/>
  <c r="D25" i="29" s="1"/>
  <c r="I24" i="15"/>
  <c r="H24" i="15"/>
  <c r="G24" i="15"/>
  <c r="D24" i="15"/>
  <c r="D24" i="29" s="1"/>
  <c r="I23" i="15"/>
  <c r="O23" i="58" s="1"/>
  <c r="H23" i="15"/>
  <c r="G23" i="15"/>
  <c r="D23" i="15"/>
  <c r="D23" i="29" s="1"/>
  <c r="I22" i="15"/>
  <c r="H22" i="15"/>
  <c r="G22" i="15"/>
  <c r="D22" i="15"/>
  <c r="D22" i="29" s="1"/>
  <c r="I21" i="15"/>
  <c r="H21" i="15"/>
  <c r="G21" i="15"/>
  <c r="D21" i="15"/>
  <c r="D21" i="29" s="1"/>
  <c r="I20" i="15"/>
  <c r="H20" i="15"/>
  <c r="G20" i="15"/>
  <c r="D20" i="15"/>
  <c r="D20" i="29" s="1"/>
  <c r="I19" i="15"/>
  <c r="H19" i="15"/>
  <c r="G19" i="15"/>
  <c r="D19" i="15"/>
  <c r="D19" i="29" s="1"/>
  <c r="I18" i="15"/>
  <c r="D18" i="15"/>
  <c r="G18" i="15"/>
  <c r="H18" i="15"/>
  <c r="I17" i="15"/>
  <c r="O17" i="58" s="1"/>
  <c r="H17" i="15"/>
  <c r="G17" i="15"/>
  <c r="D17" i="15"/>
  <c r="D17" i="29" s="1"/>
  <c r="I15" i="15"/>
  <c r="H15" i="15"/>
  <c r="G15" i="15"/>
  <c r="D15" i="15"/>
  <c r="D15" i="29" s="1"/>
  <c r="I14" i="15"/>
  <c r="H14" i="15"/>
  <c r="G14" i="15"/>
  <c r="D14" i="15"/>
  <c r="D14" i="29" s="1"/>
  <c r="I13" i="15"/>
  <c r="H13" i="15"/>
  <c r="G13" i="15"/>
  <c r="D13" i="15"/>
  <c r="D13" i="29" s="1"/>
  <c r="I12" i="15"/>
  <c r="H12" i="15"/>
  <c r="G12" i="15"/>
  <c r="D12" i="15"/>
  <c r="I11" i="15"/>
  <c r="H11" i="15"/>
  <c r="G11" i="15"/>
  <c r="D11" i="15"/>
  <c r="D11" i="29" s="1"/>
  <c r="I10" i="15"/>
  <c r="H10" i="15"/>
  <c r="G10" i="15"/>
  <c r="D10" i="15"/>
  <c r="D10" i="29" s="1"/>
  <c r="I9" i="15"/>
  <c r="H9" i="15"/>
  <c r="G9" i="15"/>
  <c r="D9" i="15"/>
  <c r="D9" i="29" s="1"/>
  <c r="I8" i="15"/>
  <c r="H8" i="15"/>
  <c r="G8" i="15"/>
  <c r="D8" i="15"/>
  <c r="D8" i="29" s="1"/>
  <c r="I7" i="15"/>
  <c r="H7" i="15"/>
  <c r="G7" i="15"/>
  <c r="E7" i="15"/>
  <c r="D7" i="15"/>
  <c r="D7" i="29" s="1"/>
  <c r="AG34" i="15"/>
  <c r="AF34" i="15"/>
  <c r="AE34" i="15"/>
  <c r="AC34" i="15"/>
  <c r="AB34" i="15"/>
  <c r="AA34" i="15"/>
  <c r="AX36" i="43"/>
  <c r="AW36" i="43"/>
  <c r="AT36" i="43"/>
  <c r="AS36" i="43"/>
  <c r="AR36" i="43"/>
  <c r="AQ36" i="43"/>
  <c r="AP36" i="43"/>
  <c r="AO36" i="43"/>
  <c r="AN36" i="43"/>
  <c r="AM36" i="43"/>
  <c r="AL36" i="43"/>
  <c r="AK36" i="43"/>
  <c r="AJ36" i="43"/>
  <c r="AI36" i="43"/>
  <c r="AF36" i="43"/>
  <c r="AE36" i="43"/>
  <c r="AD36" i="43"/>
  <c r="AC36" i="43"/>
  <c r="BA9" i="43"/>
  <c r="V43" i="9"/>
  <c r="F25" i="33" s="1"/>
  <c r="AE34" i="9"/>
  <c r="F25" i="31" s="1"/>
  <c r="AE33" i="9"/>
  <c r="F24" i="31" s="1"/>
  <c r="U43" i="9"/>
  <c r="G24" i="31" s="1"/>
  <c r="J15" i="2"/>
  <c r="H15" i="2"/>
  <c r="F15" i="2"/>
  <c r="E15" i="2"/>
  <c r="D15" i="2"/>
  <c r="J14" i="2"/>
  <c r="F14" i="2"/>
  <c r="H14" i="2"/>
  <c r="E14" i="2"/>
  <c r="D14" i="2"/>
  <c r="AE31" i="9"/>
  <c r="H22" i="33" s="1"/>
  <c r="S43" i="9"/>
  <c r="G22" i="31" s="1"/>
  <c r="J26" i="2"/>
  <c r="E26" i="2"/>
  <c r="H26" i="2"/>
  <c r="F26" i="2"/>
  <c r="D26" i="2"/>
  <c r="J25" i="2"/>
  <c r="H25" i="2"/>
  <c r="F25" i="2"/>
  <c r="E25" i="2"/>
  <c r="D25" i="2"/>
  <c r="AE29" i="9"/>
  <c r="F20" i="48" s="1"/>
  <c r="Q43" i="9"/>
  <c r="G20" i="48" s="1"/>
  <c r="J24" i="2"/>
  <c r="H24" i="2"/>
  <c r="F24" i="2"/>
  <c r="E24" i="2"/>
  <c r="D24" i="2"/>
  <c r="J23" i="2"/>
  <c r="H23" i="2"/>
  <c r="F23" i="2"/>
  <c r="E23" i="2"/>
  <c r="D23" i="2"/>
  <c r="J22" i="2"/>
  <c r="H22" i="2"/>
  <c r="F22" i="2"/>
  <c r="E22" i="2"/>
  <c r="D22" i="2"/>
  <c r="C22" i="33" s="1"/>
  <c r="J13" i="2"/>
  <c r="H13" i="2"/>
  <c r="F13" i="2"/>
  <c r="E13" i="2"/>
  <c r="D13" i="2"/>
  <c r="AE25" i="9"/>
  <c r="F16" i="48" s="1"/>
  <c r="M43" i="9"/>
  <c r="F16" i="33" s="1"/>
  <c r="J12" i="2"/>
  <c r="H12" i="2"/>
  <c r="F12" i="2"/>
  <c r="E12" i="2"/>
  <c r="D12" i="2"/>
  <c r="L43" i="9"/>
  <c r="G15" i="31" s="1"/>
  <c r="AE24" i="9"/>
  <c r="H15" i="33" s="1"/>
  <c r="J21" i="2"/>
  <c r="H21" i="2"/>
  <c r="E21" i="2"/>
  <c r="D21" i="2"/>
  <c r="AE23" i="9"/>
  <c r="F14" i="48" s="1"/>
  <c r="K43" i="9"/>
  <c r="G14" i="31" s="1"/>
  <c r="J20" i="2"/>
  <c r="H20" i="2"/>
  <c r="E20" i="2"/>
  <c r="D20" i="2"/>
  <c r="J43" i="9"/>
  <c r="F13" i="33" s="1"/>
  <c r="AE22" i="9"/>
  <c r="J19" i="2"/>
  <c r="H19" i="2"/>
  <c r="F19" i="2"/>
  <c r="E19" i="2"/>
  <c r="D19" i="2"/>
  <c r="J11" i="2"/>
  <c r="H11" i="2"/>
  <c r="F11" i="2"/>
  <c r="E11" i="2"/>
  <c r="D11" i="2"/>
  <c r="J10" i="2"/>
  <c r="H10" i="2"/>
  <c r="E10" i="2"/>
  <c r="F10" i="2"/>
  <c r="D10" i="2"/>
  <c r="J9" i="2"/>
  <c r="H9" i="2"/>
  <c r="F9" i="2"/>
  <c r="E9" i="2"/>
  <c r="D9" i="2"/>
  <c r="C9" i="31" s="1"/>
  <c r="F43" i="9"/>
  <c r="F9" i="33" s="1"/>
  <c r="AE18" i="9"/>
  <c r="H9" i="33" s="1"/>
  <c r="J8" i="2"/>
  <c r="H8" i="2"/>
  <c r="F8" i="2"/>
  <c r="E8" i="2"/>
  <c r="D8" i="2"/>
  <c r="AE17" i="9"/>
  <c r="F8" i="31" s="1"/>
  <c r="E43" i="9"/>
  <c r="F8" i="33" s="1"/>
  <c r="J7" i="2"/>
  <c r="H7" i="2"/>
  <c r="F7" i="2"/>
  <c r="E7" i="2"/>
  <c r="D7" i="2"/>
  <c r="D43" i="9"/>
  <c r="G7" i="31" s="1"/>
  <c r="AE16" i="9"/>
  <c r="H7" i="33" s="1"/>
  <c r="AH34" i="2"/>
  <c r="AG34" i="2"/>
  <c r="AF34" i="2"/>
  <c r="AE34" i="2"/>
  <c r="AD34" i="2"/>
  <c r="AC34" i="2"/>
  <c r="AB34" i="2"/>
  <c r="AA34" i="2"/>
  <c r="AJ15" i="2"/>
  <c r="AI15" i="2"/>
  <c r="AJ14" i="2"/>
  <c r="AI14" i="2"/>
  <c r="AJ26" i="2"/>
  <c r="AI26" i="2"/>
  <c r="AJ25" i="2"/>
  <c r="AI25" i="2"/>
  <c r="AJ24" i="2"/>
  <c r="AI24" i="2"/>
  <c r="AJ23" i="2"/>
  <c r="AI23" i="2"/>
  <c r="AJ22" i="2"/>
  <c r="AI22" i="2"/>
  <c r="AJ13" i="2"/>
  <c r="AI13" i="2"/>
  <c r="AJ12" i="2"/>
  <c r="AI12" i="2"/>
  <c r="AJ21" i="2"/>
  <c r="AI21" i="2"/>
  <c r="AJ20" i="2"/>
  <c r="AI20" i="2"/>
  <c r="AJ19" i="2"/>
  <c r="AI19" i="2"/>
  <c r="AJ11" i="2"/>
  <c r="AI11" i="2"/>
  <c r="AJ10" i="2"/>
  <c r="AI10" i="2"/>
  <c r="AJ9" i="2"/>
  <c r="AI9" i="2"/>
  <c r="AJ8" i="2"/>
  <c r="AI8" i="2"/>
  <c r="AJ7" i="2"/>
  <c r="AI7" i="2"/>
  <c r="W35" i="8"/>
  <c r="W36" i="8"/>
  <c r="W37" i="8"/>
  <c r="W38" i="8"/>
  <c r="G28" i="66"/>
  <c r="G31" i="66"/>
  <c r="K33" i="47"/>
  <c r="G10" i="71"/>
  <c r="G9" i="71"/>
  <c r="I9" i="71" s="1"/>
  <c r="G8" i="71"/>
  <c r="I8" i="71" s="1"/>
  <c r="H7" i="71"/>
  <c r="G7" i="71"/>
  <c r="H6" i="71"/>
  <c r="G6" i="71"/>
  <c r="B10" i="71"/>
  <c r="A10" i="71"/>
  <c r="B9" i="71"/>
  <c r="A9" i="71"/>
  <c r="B8" i="71"/>
  <c r="A8" i="71"/>
  <c r="B7" i="71"/>
  <c r="A7" i="71"/>
  <c r="B6" i="71"/>
  <c r="A6" i="71"/>
  <c r="K211" i="47"/>
  <c r="B21" i="66"/>
  <c r="A3" i="32"/>
  <c r="A30" i="23"/>
  <c r="R35" i="7"/>
  <c r="Q35" i="7"/>
  <c r="K163" i="70"/>
  <c r="I162" i="70"/>
  <c r="J161" i="70"/>
  <c r="H161" i="70"/>
  <c r="J159" i="70"/>
  <c r="H159" i="70"/>
  <c r="J157" i="70"/>
  <c r="H157" i="70"/>
  <c r="J155" i="70"/>
  <c r="H155" i="70"/>
  <c r="J153" i="70"/>
  <c r="H153" i="70"/>
  <c r="J151" i="70"/>
  <c r="H151" i="70"/>
  <c r="J149" i="70"/>
  <c r="H149" i="70"/>
  <c r="J147" i="70"/>
  <c r="H147" i="70"/>
  <c r="J145" i="70"/>
  <c r="H145" i="70"/>
  <c r="J143" i="70"/>
  <c r="H143" i="70"/>
  <c r="J141" i="70"/>
  <c r="H141" i="70"/>
  <c r="G138" i="70"/>
  <c r="J135" i="70"/>
  <c r="J129" i="70"/>
  <c r="H129" i="70"/>
  <c r="J127" i="70"/>
  <c r="H127" i="70"/>
  <c r="J125" i="70"/>
  <c r="H125" i="70"/>
  <c r="J123" i="70"/>
  <c r="H123" i="70"/>
  <c r="J121" i="70"/>
  <c r="H121" i="70"/>
  <c r="J119" i="70"/>
  <c r="H119" i="70"/>
  <c r="J117" i="70"/>
  <c r="H117" i="70"/>
  <c r="J115" i="70"/>
  <c r="H115" i="70"/>
  <c r="J113" i="70"/>
  <c r="H113" i="70"/>
  <c r="J111" i="70"/>
  <c r="H111" i="70"/>
  <c r="J109" i="70"/>
  <c r="H109" i="70"/>
  <c r="G106" i="70"/>
  <c r="J103" i="70"/>
  <c r="J97" i="70"/>
  <c r="H97" i="70"/>
  <c r="J95" i="70"/>
  <c r="H95" i="70"/>
  <c r="J93" i="70"/>
  <c r="H93" i="70"/>
  <c r="J91" i="70"/>
  <c r="H91" i="70"/>
  <c r="J89" i="70"/>
  <c r="H89" i="70"/>
  <c r="J87" i="70"/>
  <c r="H87" i="70"/>
  <c r="J85" i="70"/>
  <c r="H85" i="70"/>
  <c r="J83" i="70"/>
  <c r="H83" i="70"/>
  <c r="J81" i="70"/>
  <c r="H81" i="70"/>
  <c r="J79" i="70"/>
  <c r="H79" i="70"/>
  <c r="J77" i="70"/>
  <c r="H77" i="70"/>
  <c r="G74" i="70"/>
  <c r="J71" i="70"/>
  <c r="J65" i="70"/>
  <c r="H65" i="70"/>
  <c r="J63" i="70"/>
  <c r="H63" i="70"/>
  <c r="J61" i="70"/>
  <c r="H61" i="70"/>
  <c r="J59" i="70"/>
  <c r="H59" i="70"/>
  <c r="J57" i="70"/>
  <c r="H57" i="70"/>
  <c r="J55" i="70"/>
  <c r="H55" i="70"/>
  <c r="J53" i="70"/>
  <c r="H53" i="70"/>
  <c r="J51" i="70"/>
  <c r="H51" i="70"/>
  <c r="J49" i="70"/>
  <c r="H49" i="70"/>
  <c r="J47" i="70"/>
  <c r="H47" i="70"/>
  <c r="J45" i="70"/>
  <c r="H45" i="70"/>
  <c r="G42" i="70"/>
  <c r="J39" i="70"/>
  <c r="J33" i="70"/>
  <c r="H33" i="70"/>
  <c r="J31" i="70"/>
  <c r="H31" i="70"/>
  <c r="J29" i="70"/>
  <c r="H29" i="70"/>
  <c r="J27" i="70"/>
  <c r="H27" i="70"/>
  <c r="J25" i="70"/>
  <c r="H25" i="70"/>
  <c r="J23" i="70"/>
  <c r="H23" i="70"/>
  <c r="J21" i="70"/>
  <c r="H21" i="70"/>
  <c r="J19" i="70"/>
  <c r="H19" i="70"/>
  <c r="J17" i="70"/>
  <c r="H17" i="70"/>
  <c r="J15" i="70"/>
  <c r="H15" i="70"/>
  <c r="J13" i="70"/>
  <c r="H13" i="70"/>
  <c r="G10" i="70"/>
  <c r="J7" i="70"/>
  <c r="H7" i="70"/>
  <c r="E35" i="23"/>
  <c r="E32" i="23"/>
  <c r="B30" i="66"/>
  <c r="B27" i="66"/>
  <c r="B24" i="66"/>
  <c r="B23" i="66"/>
  <c r="B22" i="66"/>
  <c r="B18" i="66"/>
  <c r="B15" i="66"/>
  <c r="B14" i="66"/>
  <c r="B8" i="66"/>
  <c r="B6" i="66"/>
  <c r="C28" i="66"/>
  <c r="C31" i="66"/>
  <c r="B14" i="65"/>
  <c r="A14" i="65"/>
  <c r="B13" i="65"/>
  <c r="A13" i="65"/>
  <c r="B7" i="65"/>
  <c r="A7" i="65"/>
  <c r="B6" i="65"/>
  <c r="A6" i="65"/>
  <c r="A5" i="65"/>
  <c r="AU15" i="18"/>
  <c r="L17" i="32" s="1"/>
  <c r="AV15" i="18"/>
  <c r="X17" i="32" s="1"/>
  <c r="AU7" i="18"/>
  <c r="L9" i="32" s="1"/>
  <c r="AV7" i="18"/>
  <c r="A36" i="14"/>
  <c r="A35" i="14"/>
  <c r="A36" i="15"/>
  <c r="A35" i="15"/>
  <c r="A38" i="43"/>
  <c r="A37" i="43"/>
  <c r="AA36" i="18"/>
  <c r="AA35" i="18"/>
  <c r="C36" i="18"/>
  <c r="C35" i="18"/>
  <c r="A36" i="4"/>
  <c r="A35" i="4"/>
  <c r="A37" i="5"/>
  <c r="A36" i="5"/>
  <c r="A36" i="6"/>
  <c r="A35" i="6"/>
  <c r="A38" i="7"/>
  <c r="A37" i="7"/>
  <c r="A38" i="8"/>
  <c r="A37" i="8"/>
  <c r="A45" i="9"/>
  <c r="A44" i="9"/>
  <c r="A37" i="20"/>
  <c r="A36" i="20"/>
  <c r="B2" i="23"/>
  <c r="A35" i="58"/>
  <c r="B20" i="35"/>
  <c r="C20" i="35"/>
  <c r="A20" i="35"/>
  <c r="C19" i="35"/>
  <c r="E19" i="35" s="1"/>
  <c r="B19" i="35"/>
  <c r="A19" i="35"/>
  <c r="B7" i="64"/>
  <c r="A7" i="64"/>
  <c r="C27" i="46"/>
  <c r="C28" i="46"/>
  <c r="C29" i="46"/>
  <c r="C30" i="46"/>
  <c r="B27" i="46"/>
  <c r="B28" i="46"/>
  <c r="B29" i="46"/>
  <c r="B30" i="46"/>
  <c r="A27" i="46"/>
  <c r="A28" i="46"/>
  <c r="A29" i="46"/>
  <c r="A30" i="46"/>
  <c r="P35" i="8"/>
  <c r="O35" i="8"/>
  <c r="AB25" i="5"/>
  <c r="J26" i="30" s="1"/>
  <c r="AA25" i="5"/>
  <c r="E26" i="30" s="1"/>
  <c r="AB24" i="5"/>
  <c r="J25" i="30" s="1"/>
  <c r="AA24" i="5"/>
  <c r="E25" i="30" s="1"/>
  <c r="AB23" i="5"/>
  <c r="J24" i="30" s="1"/>
  <c r="AA23" i="5"/>
  <c r="E24" i="30" s="1"/>
  <c r="AB22" i="5"/>
  <c r="J23" i="30" s="1"/>
  <c r="AA22" i="5"/>
  <c r="E23" i="30" s="1"/>
  <c r="AB21" i="5"/>
  <c r="J22" i="30" s="1"/>
  <c r="AA21" i="5"/>
  <c r="E22" i="30" s="1"/>
  <c r="AB20" i="5"/>
  <c r="J21" i="30" s="1"/>
  <c r="AA20" i="5"/>
  <c r="E21" i="30" s="1"/>
  <c r="AB19" i="5"/>
  <c r="J20" i="30" s="1"/>
  <c r="AA19" i="5"/>
  <c r="E20" i="30" s="1"/>
  <c r="AB18" i="5"/>
  <c r="J19" i="30" s="1"/>
  <c r="AA18" i="5"/>
  <c r="E19" i="30" s="1"/>
  <c r="AB17" i="5"/>
  <c r="J18" i="30" s="1"/>
  <c r="AA17" i="5"/>
  <c r="E18" i="30" s="1"/>
  <c r="AB16" i="5"/>
  <c r="J17" i="30" s="1"/>
  <c r="AA16" i="5"/>
  <c r="E17" i="30" s="1"/>
  <c r="AB15" i="5"/>
  <c r="J16" i="30" s="1"/>
  <c r="AA15" i="5"/>
  <c r="E16" i="30" s="1"/>
  <c r="AB14" i="5"/>
  <c r="J15" i="30" s="1"/>
  <c r="AA14" i="5"/>
  <c r="E15" i="30" s="1"/>
  <c r="AB13" i="5"/>
  <c r="J14" i="30" s="1"/>
  <c r="AA13" i="5"/>
  <c r="E14" i="30" s="1"/>
  <c r="AB12" i="5"/>
  <c r="J13" i="30" s="1"/>
  <c r="AA12" i="5"/>
  <c r="E13" i="30" s="1"/>
  <c r="AB11" i="5"/>
  <c r="AA11" i="5"/>
  <c r="E12" i="30" s="1"/>
  <c r="E11" i="30"/>
  <c r="AB9" i="5"/>
  <c r="J10" i="30" s="1"/>
  <c r="AA9" i="5"/>
  <c r="E10" i="30" s="1"/>
  <c r="AB8" i="5"/>
  <c r="J9" i="30" s="1"/>
  <c r="AA8" i="5"/>
  <c r="E9" i="30" s="1"/>
  <c r="AA7" i="5"/>
  <c r="E8" i="30" s="1"/>
  <c r="AB7" i="5"/>
  <c r="J8" i="30" s="1"/>
  <c r="X34" i="5"/>
  <c r="W34" i="5"/>
  <c r="X25" i="6"/>
  <c r="I26" i="30" s="1"/>
  <c r="W25" i="6"/>
  <c r="D26" i="30" s="1"/>
  <c r="X24" i="6"/>
  <c r="I25" i="30" s="1"/>
  <c r="W24" i="6"/>
  <c r="D25" i="30" s="1"/>
  <c r="X23" i="6"/>
  <c r="I24" i="30" s="1"/>
  <c r="W23" i="6"/>
  <c r="D24" i="30" s="1"/>
  <c r="X22" i="6"/>
  <c r="I23" i="30" s="1"/>
  <c r="W22" i="6"/>
  <c r="D23" i="30" s="1"/>
  <c r="X21" i="6"/>
  <c r="I22" i="30" s="1"/>
  <c r="W21" i="6"/>
  <c r="D22" i="30" s="1"/>
  <c r="X20" i="6"/>
  <c r="I21" i="30" s="1"/>
  <c r="W20" i="6"/>
  <c r="D21" i="30" s="1"/>
  <c r="X19" i="6"/>
  <c r="I20" i="30" s="1"/>
  <c r="W19" i="6"/>
  <c r="D20" i="30" s="1"/>
  <c r="X18" i="6"/>
  <c r="I19" i="30" s="1"/>
  <c r="W18" i="6"/>
  <c r="D19" i="30" s="1"/>
  <c r="X17" i="6"/>
  <c r="I18" i="30" s="1"/>
  <c r="W17" i="6"/>
  <c r="D18" i="30" s="1"/>
  <c r="X16" i="6"/>
  <c r="I17" i="30" s="1"/>
  <c r="W16" i="6"/>
  <c r="D17" i="30" s="1"/>
  <c r="X15" i="6"/>
  <c r="I16" i="30" s="1"/>
  <c r="W15" i="6"/>
  <c r="D16" i="30" s="1"/>
  <c r="X14" i="6"/>
  <c r="I15" i="30" s="1"/>
  <c r="W14" i="6"/>
  <c r="D15" i="30" s="1"/>
  <c r="X13" i="6"/>
  <c r="I14" i="30" s="1"/>
  <c r="W13" i="6"/>
  <c r="D14" i="30" s="1"/>
  <c r="X12" i="6"/>
  <c r="I13" i="30" s="1"/>
  <c r="W12" i="6"/>
  <c r="D13" i="30" s="1"/>
  <c r="X11" i="6"/>
  <c r="I12" i="30" s="1"/>
  <c r="W11" i="6"/>
  <c r="D12" i="30" s="1"/>
  <c r="X10" i="6"/>
  <c r="I11" i="30" s="1"/>
  <c r="W10" i="6"/>
  <c r="D11" i="30" s="1"/>
  <c r="X9" i="6"/>
  <c r="I10" i="30" s="1"/>
  <c r="W9" i="6"/>
  <c r="D10" i="30" s="1"/>
  <c r="X8" i="6"/>
  <c r="I9" i="30" s="1"/>
  <c r="W8" i="6"/>
  <c r="D9" i="30" s="1"/>
  <c r="W7" i="6"/>
  <c r="D8" i="30" s="1"/>
  <c r="X7" i="6"/>
  <c r="I8" i="30" s="1"/>
  <c r="T34" i="6"/>
  <c r="S34" i="6"/>
  <c r="A3" i="63"/>
  <c r="B20" i="63"/>
  <c r="B13" i="63"/>
  <c r="B6" i="63"/>
  <c r="C7" i="35"/>
  <c r="B7" i="35"/>
  <c r="D7" i="35" s="1"/>
  <c r="V27" i="32"/>
  <c r="V26" i="32"/>
  <c r="V25" i="32"/>
  <c r="V24" i="32"/>
  <c r="V23" i="32"/>
  <c r="V22" i="32"/>
  <c r="V21" i="32"/>
  <c r="V20" i="32"/>
  <c r="V19" i="32"/>
  <c r="V18" i="32"/>
  <c r="V17" i="32"/>
  <c r="V16" i="32"/>
  <c r="V15" i="32"/>
  <c r="V14" i="32"/>
  <c r="V13" i="32"/>
  <c r="V12" i="32"/>
  <c r="V11" i="32"/>
  <c r="V10" i="32"/>
  <c r="V9" i="32"/>
  <c r="V36" i="32" s="1"/>
  <c r="J27" i="32"/>
  <c r="J26" i="32"/>
  <c r="J25" i="32"/>
  <c r="J24" i="32"/>
  <c r="J23" i="32"/>
  <c r="J22" i="32"/>
  <c r="J21" i="32"/>
  <c r="J20" i="32"/>
  <c r="J19" i="32"/>
  <c r="J18" i="32"/>
  <c r="J17" i="32"/>
  <c r="J16" i="32"/>
  <c r="J15" i="32"/>
  <c r="J14" i="32"/>
  <c r="J13" i="32"/>
  <c r="J12" i="32"/>
  <c r="J36" i="32" s="1"/>
  <c r="J11" i="32"/>
  <c r="J10" i="32"/>
  <c r="J9" i="32"/>
  <c r="E16" i="46"/>
  <c r="E14" i="46"/>
  <c r="E15" i="46"/>
  <c r="C16" i="46"/>
  <c r="G16" i="46" s="1"/>
  <c r="B16" i="46"/>
  <c r="A16" i="46"/>
  <c r="K23" i="47"/>
  <c r="K24" i="47"/>
  <c r="K25" i="47"/>
  <c r="K26" i="47"/>
  <c r="K22" i="47"/>
  <c r="A7" i="48"/>
  <c r="B7" i="48"/>
  <c r="E7" i="48"/>
  <c r="E8" i="48"/>
  <c r="E9" i="48"/>
  <c r="E10" i="48"/>
  <c r="E11" i="48"/>
  <c r="E12" i="48"/>
  <c r="E13" i="48"/>
  <c r="E14" i="48"/>
  <c r="E15" i="48"/>
  <c r="E16" i="48"/>
  <c r="E17" i="48"/>
  <c r="E18" i="48"/>
  <c r="E19" i="48"/>
  <c r="E20" i="48"/>
  <c r="E21" i="48"/>
  <c r="E22" i="48"/>
  <c r="E23" i="48"/>
  <c r="E24" i="48"/>
  <c r="A7" i="45"/>
  <c r="B7" i="45"/>
  <c r="C4" i="44"/>
  <c r="A7" i="44"/>
  <c r="B7" i="44"/>
  <c r="A6" i="46"/>
  <c r="B6" i="46"/>
  <c r="C6" i="46"/>
  <c r="A7" i="46"/>
  <c r="B7" i="46"/>
  <c r="C7" i="46"/>
  <c r="A8" i="46"/>
  <c r="B8" i="46"/>
  <c r="C8" i="46"/>
  <c r="A9" i="46"/>
  <c r="B9" i="46"/>
  <c r="C9" i="46"/>
  <c r="A10" i="46"/>
  <c r="B10" i="46"/>
  <c r="C10" i="46"/>
  <c r="A11" i="46"/>
  <c r="B11" i="46"/>
  <c r="C11" i="46"/>
  <c r="A12" i="46"/>
  <c r="B12" i="46"/>
  <c r="C12" i="46"/>
  <c r="A13" i="46"/>
  <c r="B13" i="46"/>
  <c r="C13" i="46"/>
  <c r="A14" i="46"/>
  <c r="B14" i="46"/>
  <c r="C14" i="46"/>
  <c r="G14" i="46" s="1"/>
  <c r="A15" i="46"/>
  <c r="B15" i="46"/>
  <c r="C15" i="46"/>
  <c r="G15" i="46" s="1"/>
  <c r="A17" i="46"/>
  <c r="B17" i="46"/>
  <c r="C17" i="46"/>
  <c r="A18" i="46"/>
  <c r="B18" i="46"/>
  <c r="C18" i="46"/>
  <c r="A19" i="46"/>
  <c r="B19" i="46"/>
  <c r="C19" i="46"/>
  <c r="A20" i="46"/>
  <c r="B20" i="46"/>
  <c r="C20" i="46"/>
  <c r="A21" i="46"/>
  <c r="B21" i="46"/>
  <c r="C21" i="46"/>
  <c r="A22" i="46"/>
  <c r="B22" i="46"/>
  <c r="C22" i="46"/>
  <c r="A23" i="46"/>
  <c r="B23" i="46"/>
  <c r="C23" i="46"/>
  <c r="A24" i="46"/>
  <c r="B24" i="46"/>
  <c r="C24" i="46"/>
  <c r="E12" i="46" s="1"/>
  <c r="A25" i="46"/>
  <c r="B25" i="46"/>
  <c r="C25" i="46"/>
  <c r="A26" i="46"/>
  <c r="B26" i="46"/>
  <c r="C26" i="46"/>
  <c r="A7" i="29"/>
  <c r="B7" i="29"/>
  <c r="C13" i="35"/>
  <c r="C14" i="35"/>
  <c r="C15" i="35"/>
  <c r="C16" i="35"/>
  <c r="B5" i="35"/>
  <c r="C5" i="35"/>
  <c r="D5" i="35" s="1"/>
  <c r="B6" i="35"/>
  <c r="C6" i="35"/>
  <c r="C4" i="33"/>
  <c r="A7" i="33"/>
  <c r="B7" i="33"/>
  <c r="A34" i="33"/>
  <c r="C6" i="32"/>
  <c r="O6" i="32"/>
  <c r="A9" i="32"/>
  <c r="B9" i="32"/>
  <c r="D9" i="32"/>
  <c r="E9" i="32"/>
  <c r="F9" i="32"/>
  <c r="G9" i="32"/>
  <c r="H9" i="32"/>
  <c r="I9" i="32"/>
  <c r="P9" i="32"/>
  <c r="Q9" i="32"/>
  <c r="R9" i="32"/>
  <c r="S9" i="32"/>
  <c r="T9" i="32"/>
  <c r="T36" i="32" s="1"/>
  <c r="U9" i="32"/>
  <c r="D10" i="32"/>
  <c r="E10" i="32"/>
  <c r="F10" i="32"/>
  <c r="G10" i="32"/>
  <c r="H10" i="32"/>
  <c r="I10" i="32"/>
  <c r="P10" i="32"/>
  <c r="Q10" i="32"/>
  <c r="R10" i="32"/>
  <c r="S10" i="32"/>
  <c r="T10" i="32"/>
  <c r="U10" i="32"/>
  <c r="D11" i="32"/>
  <c r="E11" i="32"/>
  <c r="F11" i="32"/>
  <c r="F36" i="32" s="1"/>
  <c r="G11" i="32"/>
  <c r="H11" i="32"/>
  <c r="I11" i="32"/>
  <c r="P11" i="32"/>
  <c r="Q11" i="32"/>
  <c r="R11" i="32"/>
  <c r="S11" i="32"/>
  <c r="T11" i="32"/>
  <c r="U11" i="32"/>
  <c r="D12" i="32"/>
  <c r="E12" i="32"/>
  <c r="F12" i="32"/>
  <c r="G12" i="32"/>
  <c r="H12" i="32"/>
  <c r="I12" i="32"/>
  <c r="P12" i="32"/>
  <c r="P36" i="32" s="1"/>
  <c r="Q12" i="32"/>
  <c r="R12" i="32"/>
  <c r="S12" i="32"/>
  <c r="T12" i="32"/>
  <c r="U12" i="32"/>
  <c r="D13" i="32"/>
  <c r="E13" i="32"/>
  <c r="F13" i="32"/>
  <c r="G13" i="32"/>
  <c r="H13" i="32"/>
  <c r="I13" i="32"/>
  <c r="P13" i="32"/>
  <c r="Q13" i="32"/>
  <c r="R13" i="32"/>
  <c r="S13" i="32"/>
  <c r="T13" i="32"/>
  <c r="U13" i="32"/>
  <c r="D14" i="32"/>
  <c r="E14" i="32"/>
  <c r="F14" i="32"/>
  <c r="G14" i="32"/>
  <c r="H14" i="32"/>
  <c r="I14" i="32"/>
  <c r="P14" i="32"/>
  <c r="Q14" i="32"/>
  <c r="R14" i="32"/>
  <c r="S14" i="32"/>
  <c r="T14" i="32"/>
  <c r="U14" i="32"/>
  <c r="D15" i="32"/>
  <c r="E15" i="32"/>
  <c r="F15" i="32"/>
  <c r="G15" i="32"/>
  <c r="H15" i="32"/>
  <c r="I15" i="32"/>
  <c r="P15" i="32"/>
  <c r="Q15" i="32"/>
  <c r="R15" i="32"/>
  <c r="S15" i="32"/>
  <c r="T15" i="32"/>
  <c r="U15" i="32"/>
  <c r="D16" i="32"/>
  <c r="E16" i="32"/>
  <c r="F16" i="32"/>
  <c r="G16" i="32"/>
  <c r="H16" i="32"/>
  <c r="I16" i="32"/>
  <c r="P16" i="32"/>
  <c r="Q16" i="32"/>
  <c r="R16" i="32"/>
  <c r="S16" i="32"/>
  <c r="T16" i="32"/>
  <c r="U16" i="32"/>
  <c r="D17" i="32"/>
  <c r="E17" i="32"/>
  <c r="F17" i="32"/>
  <c r="G17" i="32"/>
  <c r="H17" i="32"/>
  <c r="I17" i="32"/>
  <c r="P17" i="32"/>
  <c r="Q17" i="32"/>
  <c r="R17" i="32"/>
  <c r="S17" i="32"/>
  <c r="T17" i="32"/>
  <c r="U17" i="32"/>
  <c r="D18" i="32"/>
  <c r="E18" i="32"/>
  <c r="F18" i="32"/>
  <c r="G18" i="32"/>
  <c r="H18" i="32"/>
  <c r="I18" i="32"/>
  <c r="P18" i="32"/>
  <c r="Q18" i="32"/>
  <c r="R18" i="32"/>
  <c r="S18" i="32"/>
  <c r="T18" i="32"/>
  <c r="U18" i="32"/>
  <c r="D19" i="32"/>
  <c r="E19" i="32"/>
  <c r="F19" i="32"/>
  <c r="G19" i="32"/>
  <c r="H19" i="32"/>
  <c r="I19" i="32"/>
  <c r="P19" i="32"/>
  <c r="Q19" i="32"/>
  <c r="R19" i="32"/>
  <c r="S19" i="32"/>
  <c r="T19" i="32"/>
  <c r="U19" i="32"/>
  <c r="D20" i="32"/>
  <c r="E20" i="32"/>
  <c r="F20" i="32"/>
  <c r="G20" i="32"/>
  <c r="H20" i="32"/>
  <c r="I20" i="32"/>
  <c r="P20" i="32"/>
  <c r="Q20" i="32"/>
  <c r="R20" i="32"/>
  <c r="S20" i="32"/>
  <c r="T20" i="32"/>
  <c r="U20" i="32"/>
  <c r="D21" i="32"/>
  <c r="E21" i="32"/>
  <c r="F21" i="32"/>
  <c r="G21" i="32"/>
  <c r="H21" i="32"/>
  <c r="I21" i="32"/>
  <c r="P21" i="32"/>
  <c r="Q21" i="32"/>
  <c r="R21" i="32"/>
  <c r="S21" i="32"/>
  <c r="T21" i="32"/>
  <c r="U21" i="32"/>
  <c r="D22" i="32"/>
  <c r="E22" i="32"/>
  <c r="F22" i="32"/>
  <c r="G22" i="32"/>
  <c r="H22" i="32"/>
  <c r="I22" i="32"/>
  <c r="P22" i="32"/>
  <c r="Q22" i="32"/>
  <c r="R22" i="32"/>
  <c r="S22" i="32"/>
  <c r="T22" i="32"/>
  <c r="U22" i="32"/>
  <c r="D23" i="32"/>
  <c r="E23" i="32"/>
  <c r="F23" i="32"/>
  <c r="G23" i="32"/>
  <c r="H23" i="32"/>
  <c r="I23" i="32"/>
  <c r="P23" i="32"/>
  <c r="Q23" i="32"/>
  <c r="R23" i="32"/>
  <c r="S23" i="32"/>
  <c r="T23" i="32"/>
  <c r="U23" i="32"/>
  <c r="D24" i="32"/>
  <c r="E24" i="32"/>
  <c r="F24" i="32"/>
  <c r="G24" i="32"/>
  <c r="H24" i="32"/>
  <c r="I24" i="32"/>
  <c r="P24" i="32"/>
  <c r="Q24" i="32"/>
  <c r="R24" i="32"/>
  <c r="S24" i="32"/>
  <c r="T24" i="32"/>
  <c r="U24" i="32"/>
  <c r="D25" i="32"/>
  <c r="E25" i="32"/>
  <c r="F25" i="32"/>
  <c r="G25" i="32"/>
  <c r="H25" i="32"/>
  <c r="I25" i="32"/>
  <c r="P25" i="32"/>
  <c r="Q25" i="32"/>
  <c r="R25" i="32"/>
  <c r="S25" i="32"/>
  <c r="T25" i="32"/>
  <c r="U25" i="32"/>
  <c r="D26" i="32"/>
  <c r="E26" i="32"/>
  <c r="F26" i="32"/>
  <c r="G26" i="32"/>
  <c r="H26" i="32"/>
  <c r="I26" i="32"/>
  <c r="P26" i="32"/>
  <c r="Q26" i="32"/>
  <c r="R26" i="32"/>
  <c r="S26" i="32"/>
  <c r="T26" i="32"/>
  <c r="U26" i="32"/>
  <c r="D27" i="32"/>
  <c r="E27" i="32"/>
  <c r="F27" i="32"/>
  <c r="G27" i="32"/>
  <c r="H27" i="32"/>
  <c r="I27" i="32"/>
  <c r="P27" i="32"/>
  <c r="Q27" i="32"/>
  <c r="R27" i="32"/>
  <c r="S27" i="32"/>
  <c r="T27" i="32"/>
  <c r="U27" i="32"/>
  <c r="A36" i="32"/>
  <c r="A3" i="30"/>
  <c r="C5" i="30"/>
  <c r="H5" i="30"/>
  <c r="A8" i="30"/>
  <c r="B8" i="30"/>
  <c r="A35" i="30"/>
  <c r="A3" i="31"/>
  <c r="C4" i="31"/>
  <c r="H4" i="31"/>
  <c r="I4" i="31"/>
  <c r="A7" i="31"/>
  <c r="B7" i="31"/>
  <c r="A34" i="31"/>
  <c r="C5" i="58"/>
  <c r="F5" i="58"/>
  <c r="J5" i="58"/>
  <c r="L5" i="58"/>
  <c r="N5" i="58"/>
  <c r="O5" i="58"/>
  <c r="T5" i="58"/>
  <c r="A7" i="58"/>
  <c r="B7" i="58"/>
  <c r="A7" i="14"/>
  <c r="B7" i="14"/>
  <c r="A8" i="14"/>
  <c r="B8" i="14"/>
  <c r="A7" i="15"/>
  <c r="B7" i="15"/>
  <c r="A8" i="15"/>
  <c r="B8" i="15"/>
  <c r="A9" i="43"/>
  <c r="B9" i="43"/>
  <c r="A10" i="43"/>
  <c r="B10" i="43"/>
  <c r="A7" i="18"/>
  <c r="B7" i="18"/>
  <c r="X9" i="32"/>
  <c r="A8" i="18"/>
  <c r="B8" i="18"/>
  <c r="AU8" i="18"/>
  <c r="L10" i="32" s="1"/>
  <c r="AV8" i="18"/>
  <c r="X10" i="32" s="1"/>
  <c r="AU9" i="18"/>
  <c r="L11" i="32" s="1"/>
  <c r="AV9" i="18"/>
  <c r="X11" i="32" s="1"/>
  <c r="AU10" i="18"/>
  <c r="L12" i="32" s="1"/>
  <c r="AV10" i="18"/>
  <c r="X12" i="32" s="1"/>
  <c r="AU11" i="18"/>
  <c r="L13" i="32" s="1"/>
  <c r="AV11" i="18"/>
  <c r="X13" i="32"/>
  <c r="AU12" i="18"/>
  <c r="L14" i="32" s="1"/>
  <c r="AV12" i="18"/>
  <c r="X14" i="32"/>
  <c r="AU13" i="18"/>
  <c r="L15" i="32"/>
  <c r="AV13" i="18"/>
  <c r="X15" i="32"/>
  <c r="AU14" i="18"/>
  <c r="L16" i="32" s="1"/>
  <c r="AV14" i="18"/>
  <c r="X16" i="32" s="1"/>
  <c r="AU16" i="18"/>
  <c r="L18" i="32" s="1"/>
  <c r="AV16" i="18"/>
  <c r="X18" i="32" s="1"/>
  <c r="AU17" i="18"/>
  <c r="L19" i="32" s="1"/>
  <c r="AV17" i="18"/>
  <c r="X19" i="32" s="1"/>
  <c r="AU18" i="18"/>
  <c r="L20" i="32" s="1"/>
  <c r="AV18" i="18"/>
  <c r="X20" i="32" s="1"/>
  <c r="AU19" i="18"/>
  <c r="L21" i="32" s="1"/>
  <c r="AV19" i="18"/>
  <c r="X21" i="32" s="1"/>
  <c r="AU20" i="18"/>
  <c r="L22" i="32" s="1"/>
  <c r="AV20" i="18"/>
  <c r="X22" i="32" s="1"/>
  <c r="AU21" i="18"/>
  <c r="AV21" i="18"/>
  <c r="X23" i="32" s="1"/>
  <c r="AU22" i="18"/>
  <c r="L24" i="32" s="1"/>
  <c r="AV22" i="18"/>
  <c r="X24" i="32" s="1"/>
  <c r="AU23" i="18"/>
  <c r="L25" i="32" s="1"/>
  <c r="AV23" i="18"/>
  <c r="X25" i="32" s="1"/>
  <c r="AU24" i="18"/>
  <c r="L26" i="32" s="1"/>
  <c r="AV24" i="18"/>
  <c r="X26" i="32" s="1"/>
  <c r="AU25" i="18"/>
  <c r="L27" i="32"/>
  <c r="AV25" i="18"/>
  <c r="X27" i="32" s="1"/>
  <c r="C34" i="18"/>
  <c r="D34" i="18"/>
  <c r="E34" i="18"/>
  <c r="F34" i="18"/>
  <c r="G34" i="18"/>
  <c r="H34" i="18"/>
  <c r="I34" i="18"/>
  <c r="J34" i="18"/>
  <c r="K34" i="18"/>
  <c r="L34" i="18"/>
  <c r="M34" i="18"/>
  <c r="N34" i="18"/>
  <c r="O34" i="18"/>
  <c r="P34" i="18"/>
  <c r="Q34" i="18"/>
  <c r="R34" i="18"/>
  <c r="S34" i="18"/>
  <c r="T34" i="18"/>
  <c r="U34" i="18"/>
  <c r="V34" i="18"/>
  <c r="W34" i="18"/>
  <c r="X34" i="18"/>
  <c r="Y34" i="18"/>
  <c r="Z34" i="18"/>
  <c r="AA34" i="18"/>
  <c r="AB34" i="18"/>
  <c r="AC34" i="18"/>
  <c r="AD34" i="18"/>
  <c r="AE34" i="18"/>
  <c r="AF34" i="18"/>
  <c r="AG34" i="18"/>
  <c r="AH34" i="18"/>
  <c r="AI34" i="18"/>
  <c r="AJ34" i="18"/>
  <c r="AK34" i="18"/>
  <c r="AL34" i="18"/>
  <c r="AM34" i="18"/>
  <c r="AN34" i="18"/>
  <c r="AO34" i="18"/>
  <c r="AP34" i="18"/>
  <c r="AQ34" i="18"/>
  <c r="AR34" i="18"/>
  <c r="AS34" i="18"/>
  <c r="AT34" i="18"/>
  <c r="A7" i="4"/>
  <c r="B7" i="4"/>
  <c r="O7" i="4"/>
  <c r="F8" i="30" s="1"/>
  <c r="P7" i="4"/>
  <c r="K8" i="30" s="1"/>
  <c r="A8" i="4"/>
  <c r="B8" i="4"/>
  <c r="O8" i="4"/>
  <c r="F9" i="30" s="1"/>
  <c r="P8" i="4"/>
  <c r="K9" i="30" s="1"/>
  <c r="O9" i="4"/>
  <c r="F10" i="30" s="1"/>
  <c r="P9" i="4"/>
  <c r="K10" i="30" s="1"/>
  <c r="O10" i="4"/>
  <c r="F11" i="30" s="1"/>
  <c r="P10" i="4"/>
  <c r="K11" i="30" s="1"/>
  <c r="O11" i="4"/>
  <c r="F12" i="30" s="1"/>
  <c r="P11" i="4"/>
  <c r="K12" i="30" s="1"/>
  <c r="O12" i="4"/>
  <c r="F13" i="30" s="1"/>
  <c r="P12" i="4"/>
  <c r="K13" i="30" s="1"/>
  <c r="O13" i="4"/>
  <c r="F14" i="30" s="1"/>
  <c r="P13" i="4"/>
  <c r="K14" i="30" s="1"/>
  <c r="O14" i="4"/>
  <c r="F15" i="30" s="1"/>
  <c r="P14" i="4"/>
  <c r="K15" i="30" s="1"/>
  <c r="O15" i="4"/>
  <c r="F16" i="30" s="1"/>
  <c r="P15" i="4"/>
  <c r="K16" i="30" s="1"/>
  <c r="O16" i="4"/>
  <c r="F17" i="30" s="1"/>
  <c r="P16" i="4"/>
  <c r="K17" i="30" s="1"/>
  <c r="O17" i="4"/>
  <c r="F18" i="30" s="1"/>
  <c r="P17" i="4"/>
  <c r="K18" i="30" s="1"/>
  <c r="O18" i="4"/>
  <c r="F19" i="30" s="1"/>
  <c r="P18" i="4"/>
  <c r="K19" i="30" s="1"/>
  <c r="O19" i="4"/>
  <c r="F20" i="30" s="1"/>
  <c r="P19" i="4"/>
  <c r="K20" i="30" s="1"/>
  <c r="O20" i="4"/>
  <c r="F21" i="30" s="1"/>
  <c r="P20" i="4"/>
  <c r="K21" i="30" s="1"/>
  <c r="O21" i="4"/>
  <c r="F22" i="30" s="1"/>
  <c r="P21" i="4"/>
  <c r="K22" i="30" s="1"/>
  <c r="O22" i="4"/>
  <c r="F23" i="30" s="1"/>
  <c r="P22" i="4"/>
  <c r="K23" i="30" s="1"/>
  <c r="O23" i="4"/>
  <c r="F24" i="30" s="1"/>
  <c r="P23" i="4"/>
  <c r="K24" i="30" s="1"/>
  <c r="O24" i="4"/>
  <c r="F25" i="30" s="1"/>
  <c r="P24" i="4"/>
  <c r="K25" i="30" s="1"/>
  <c r="O25" i="4"/>
  <c r="F26" i="30" s="1"/>
  <c r="P25" i="4"/>
  <c r="K26" i="30" s="1"/>
  <c r="C34" i="4"/>
  <c r="D34" i="4"/>
  <c r="E34" i="4"/>
  <c r="F34" i="4"/>
  <c r="G34" i="4"/>
  <c r="H34" i="4"/>
  <c r="I34" i="4"/>
  <c r="J34" i="4"/>
  <c r="K34" i="4"/>
  <c r="L34" i="4"/>
  <c r="M34" i="4"/>
  <c r="N34" i="4"/>
  <c r="A7" i="5"/>
  <c r="B7" i="5"/>
  <c r="A8" i="5"/>
  <c r="B8" i="5"/>
  <c r="J12" i="30"/>
  <c r="C34" i="5"/>
  <c r="D34" i="5"/>
  <c r="E34" i="5"/>
  <c r="F34" i="5"/>
  <c r="G34" i="5"/>
  <c r="H34" i="5"/>
  <c r="I34" i="5"/>
  <c r="J34" i="5"/>
  <c r="K34" i="5"/>
  <c r="L34" i="5"/>
  <c r="M34" i="5"/>
  <c r="N34" i="5"/>
  <c r="O34" i="5"/>
  <c r="P34" i="5"/>
  <c r="Q34" i="5"/>
  <c r="R34" i="5"/>
  <c r="S34" i="5"/>
  <c r="T34" i="5"/>
  <c r="U34" i="5"/>
  <c r="V34" i="5"/>
  <c r="Y34" i="5"/>
  <c r="Z34" i="5"/>
  <c r="A7" i="6"/>
  <c r="B7" i="6"/>
  <c r="A8" i="6"/>
  <c r="B8" i="6"/>
  <c r="C34" i="6"/>
  <c r="D34" i="6"/>
  <c r="E34" i="6"/>
  <c r="F34" i="6"/>
  <c r="G34" i="6"/>
  <c r="H34" i="6"/>
  <c r="I34" i="6"/>
  <c r="J34" i="6"/>
  <c r="K34" i="6"/>
  <c r="L34" i="6"/>
  <c r="M34" i="6"/>
  <c r="N34" i="6"/>
  <c r="O34" i="6"/>
  <c r="P34" i="6"/>
  <c r="Q34" i="6"/>
  <c r="R34" i="6"/>
  <c r="U34" i="6"/>
  <c r="V34" i="6"/>
  <c r="A8" i="7"/>
  <c r="B8" i="7"/>
  <c r="A9" i="7"/>
  <c r="B9" i="7"/>
  <c r="E19" i="33"/>
  <c r="F24" i="33"/>
  <c r="C35" i="7"/>
  <c r="D35" i="7"/>
  <c r="E35" i="7"/>
  <c r="F35" i="7"/>
  <c r="G35" i="7"/>
  <c r="H35" i="7"/>
  <c r="I35" i="7"/>
  <c r="J35" i="7"/>
  <c r="K35" i="7"/>
  <c r="L35" i="7"/>
  <c r="M35" i="7"/>
  <c r="N35" i="7"/>
  <c r="O35" i="7"/>
  <c r="P35" i="7"/>
  <c r="A8" i="8"/>
  <c r="B8" i="8"/>
  <c r="C35" i="8"/>
  <c r="D35" i="8"/>
  <c r="E35" i="8"/>
  <c r="F35" i="8"/>
  <c r="G35" i="8"/>
  <c r="H35" i="8"/>
  <c r="I35" i="8"/>
  <c r="J35" i="8"/>
  <c r="K35" i="8"/>
  <c r="L35" i="8"/>
  <c r="M35" i="8"/>
  <c r="N35" i="8"/>
  <c r="S35" i="8"/>
  <c r="T35" i="8"/>
  <c r="A16" i="9"/>
  <c r="B16" i="9"/>
  <c r="D14" i="9" s="1"/>
  <c r="AE19" i="9"/>
  <c r="H10" i="33" s="1"/>
  <c r="AE20" i="9"/>
  <c r="E11" i="44" s="1"/>
  <c r="I14" i="9"/>
  <c r="AE21" i="9"/>
  <c r="H12" i="33" s="1"/>
  <c r="AE26" i="9"/>
  <c r="F17" i="48" s="1"/>
  <c r="O14" i="9"/>
  <c r="AE27" i="9"/>
  <c r="H18" i="33" s="1"/>
  <c r="AE28" i="9"/>
  <c r="H19" i="33" s="1"/>
  <c r="AE30" i="9"/>
  <c r="F21" i="31" s="1"/>
  <c r="AE32" i="9"/>
  <c r="F23" i="31" s="1"/>
  <c r="G43" i="9"/>
  <c r="F10" i="33" s="1"/>
  <c r="H43" i="9"/>
  <c r="F11" i="33" s="1"/>
  <c r="G11" i="48"/>
  <c r="I43" i="9"/>
  <c r="G12" i="48" s="1"/>
  <c r="N43" i="9"/>
  <c r="G17" i="31" s="1"/>
  <c r="O43" i="9"/>
  <c r="F18" i="33" s="1"/>
  <c r="P43" i="9"/>
  <c r="G19" i="48" s="1"/>
  <c r="R43" i="9"/>
  <c r="G21" i="31" s="1"/>
  <c r="T43" i="9"/>
  <c r="G23" i="31" s="1"/>
  <c r="A7" i="20"/>
  <c r="B7" i="20"/>
  <c r="C34" i="20"/>
  <c r="D34" i="20"/>
  <c r="E34" i="20"/>
  <c r="C228" i="47" s="1"/>
  <c r="F34" i="20"/>
  <c r="G34" i="20"/>
  <c r="H34" i="20"/>
  <c r="I34" i="20"/>
  <c r="J34" i="20"/>
  <c r="K34" i="20"/>
  <c r="L34" i="20"/>
  <c r="M34" i="20"/>
  <c r="N34" i="20"/>
  <c r="O34" i="20"/>
  <c r="P34" i="20"/>
  <c r="A1" i="53"/>
  <c r="A17" i="53"/>
  <c r="E17" i="53"/>
  <c r="F17" i="53"/>
  <c r="G17" i="53"/>
  <c r="H17" i="53"/>
  <c r="I17" i="53"/>
  <c r="J17" i="53"/>
  <c r="K17" i="53"/>
  <c r="C4" i="2"/>
  <c r="K4" i="2"/>
  <c r="A37" i="2"/>
  <c r="K53" i="47"/>
  <c r="K59" i="47"/>
  <c r="K62" i="47"/>
  <c r="E19" i="31"/>
  <c r="G24" i="48"/>
  <c r="H17" i="48"/>
  <c r="D17" i="33"/>
  <c r="E13" i="44"/>
  <c r="F7" i="31"/>
  <c r="F13" i="48"/>
  <c r="E20" i="44"/>
  <c r="F17" i="44"/>
  <c r="F9" i="44"/>
  <c r="D18" i="29"/>
  <c r="E31" i="44"/>
  <c r="E31" i="74"/>
  <c r="F31" i="44"/>
  <c r="D31" i="45"/>
  <c r="C31" i="29"/>
  <c r="E31" i="29" s="1"/>
  <c r="H31" i="29" s="1"/>
  <c r="C33" i="29"/>
  <c r="E33" i="44"/>
  <c r="G26" i="31"/>
  <c r="F26" i="33"/>
  <c r="C29" i="29"/>
  <c r="E29" i="74"/>
  <c r="G33" i="31"/>
  <c r="E32" i="74"/>
  <c r="F32" i="44"/>
  <c r="D32" i="45"/>
  <c r="F29" i="31"/>
  <c r="H27" i="33"/>
  <c r="L32" i="32"/>
  <c r="C32" i="29"/>
  <c r="E32" i="29" s="1"/>
  <c r="I32" i="29" s="1"/>
  <c r="D33" i="45"/>
  <c r="F33" i="44"/>
  <c r="E33" i="74"/>
  <c r="E21" i="74"/>
  <c r="D21" i="45"/>
  <c r="C21" i="29"/>
  <c r="F21" i="44"/>
  <c r="C14" i="29"/>
  <c r="D13" i="44"/>
  <c r="F10" i="31"/>
  <c r="F28" i="31"/>
  <c r="H32" i="33"/>
  <c r="H28" i="33"/>
  <c r="E28" i="44"/>
  <c r="F31" i="48"/>
  <c r="H20" i="33"/>
  <c r="G27" i="31"/>
  <c r="F31" i="31"/>
  <c r="J163" i="70"/>
  <c r="I163" i="70" s="1"/>
  <c r="C224" i="47"/>
  <c r="K10" i="71"/>
  <c r="E9" i="74"/>
  <c r="D9" i="45"/>
  <c r="F29" i="48"/>
  <c r="D32" i="29"/>
  <c r="G12" i="31"/>
  <c r="F11" i="31"/>
  <c r="F20" i="31"/>
  <c r="D26" i="31"/>
  <c r="D26" i="33"/>
  <c r="D14" i="44"/>
  <c r="H14" i="48"/>
  <c r="D14" i="31"/>
  <c r="D26" i="44"/>
  <c r="D22" i="33"/>
  <c r="D10" i="31"/>
  <c r="D22" i="44"/>
  <c r="H22" i="48"/>
  <c r="H33" i="48"/>
  <c r="E18" i="44"/>
  <c r="F18" i="48"/>
  <c r="G18" i="31"/>
  <c r="G18" i="48"/>
  <c r="E21" i="44"/>
  <c r="F16" i="31"/>
  <c r="G8" i="31"/>
  <c r="F23" i="48"/>
  <c r="H13" i="33"/>
  <c r="F13" i="31"/>
  <c r="K6" i="71"/>
  <c r="D25" i="44"/>
  <c r="F16" i="44"/>
  <c r="E9" i="58"/>
  <c r="N9" i="58" s="1"/>
  <c r="C9" i="29"/>
  <c r="L17" i="58"/>
  <c r="K17" i="58"/>
  <c r="J17" i="58"/>
  <c r="N17" i="58"/>
  <c r="F24" i="44"/>
  <c r="D17" i="45"/>
  <c r="C17" i="29"/>
  <c r="E17" i="74"/>
  <c r="D30" i="31"/>
  <c r="D9" i="33"/>
  <c r="D30" i="33"/>
  <c r="D18" i="44"/>
  <c r="D30" i="44"/>
  <c r="H23" i="33"/>
  <c r="E24" i="44"/>
  <c r="H24" i="33"/>
  <c r="G13" i="48"/>
  <c r="F24" i="48"/>
  <c r="E23" i="44"/>
  <c r="G19" i="31"/>
  <c r="F12" i="33"/>
  <c r="G25" i="31"/>
  <c r="F15" i="31"/>
  <c r="F15" i="48"/>
  <c r="F30" i="33"/>
  <c r="E15" i="44"/>
  <c r="I6" i="71"/>
  <c r="T18" i="53"/>
  <c r="C227" i="47" s="1"/>
  <c r="E7" i="71"/>
  <c r="L6" i="71"/>
  <c r="N27" i="58"/>
  <c r="P33" i="58"/>
  <c r="K33" i="58"/>
  <c r="T33" i="58"/>
  <c r="J33" i="58"/>
  <c r="K26" i="58"/>
  <c r="N21" i="58"/>
  <c r="J21" i="58"/>
  <c r="L21" i="58"/>
  <c r="C27" i="29"/>
  <c r="E27" i="29" s="1"/>
  <c r="F26" i="44"/>
  <c r="D27" i="45"/>
  <c r="E11" i="33"/>
  <c r="D29" i="44"/>
  <c r="H18" i="48"/>
  <c r="H21" i="48"/>
  <c r="H29" i="48"/>
  <c r="D18" i="31"/>
  <c r="D21" i="44"/>
  <c r="F8" i="48"/>
  <c r="F7" i="48"/>
  <c r="E8" i="44"/>
  <c r="H8" i="33"/>
  <c r="E7" i="44"/>
  <c r="F12" i="31"/>
  <c r="F7" i="33"/>
  <c r="G7" i="48"/>
  <c r="F22" i="33"/>
  <c r="G8" i="48"/>
  <c r="F9" i="31"/>
  <c r="G22" i="48"/>
  <c r="E17" i="44"/>
  <c r="F28" i="33"/>
  <c r="F9" i="48"/>
  <c r="F32" i="33"/>
  <c r="E9" i="44"/>
  <c r="G9" i="31"/>
  <c r="E14" i="44"/>
  <c r="F19" i="48"/>
  <c r="F22" i="48"/>
  <c r="G9" i="48"/>
  <c r="F20" i="33"/>
  <c r="F19" i="31"/>
  <c r="F14" i="31"/>
  <c r="F15" i="33"/>
  <c r="G16" i="31"/>
  <c r="G20" i="31"/>
  <c r="F32" i="48"/>
  <c r="F18" i="31"/>
  <c r="E32" i="44"/>
  <c r="F6" i="31"/>
  <c r="F21" i="33"/>
  <c r="G11" i="31"/>
  <c r="F33" i="48"/>
  <c r="H14" i="33"/>
  <c r="G16" i="48"/>
  <c r="G15" i="48"/>
  <c r="Q36" i="32"/>
  <c r="C27" i="33"/>
  <c r="C31" i="31"/>
  <c r="D36" i="32"/>
  <c r="A1" i="58"/>
  <c r="C11" i="71"/>
  <c r="E6" i="71"/>
  <c r="K8" i="71"/>
  <c r="K9" i="71"/>
  <c r="E8" i="71"/>
  <c r="E24" i="46"/>
  <c r="D9" i="64"/>
  <c r="A1" i="23"/>
  <c r="C3" i="47"/>
  <c r="L8" i="71"/>
  <c r="L23" i="32"/>
  <c r="F12" i="44"/>
  <c r="E12" i="58"/>
  <c r="N12" i="58" s="1"/>
  <c r="E12" i="74"/>
  <c r="D12" i="45"/>
  <c r="C12" i="29"/>
  <c r="K34" i="30"/>
  <c r="D6" i="35"/>
  <c r="F246" i="47"/>
  <c r="D6" i="45"/>
  <c r="E8" i="31"/>
  <c r="E9" i="71"/>
  <c r="L9" i="71"/>
  <c r="D11" i="71"/>
  <c r="C241" i="47"/>
  <c r="F32" i="66"/>
  <c r="C242" i="47" s="1"/>
  <c r="D16" i="35"/>
  <c r="J252" i="87"/>
  <c r="I252" i="87" s="1"/>
  <c r="G18" i="88"/>
  <c r="G131" i="88"/>
  <c r="G131" i="89"/>
  <c r="H18" i="88"/>
  <c r="G18" i="87"/>
  <c r="G131" i="87"/>
  <c r="F6" i="33"/>
  <c r="G6" i="31"/>
  <c r="O6" i="85" a="1"/>
  <c r="Z14" i="43" l="1"/>
  <c r="Z20" i="43"/>
  <c r="Z17" i="43"/>
  <c r="Z25" i="43"/>
  <c r="V36" i="43"/>
  <c r="E6" i="35"/>
  <c r="G36" i="32"/>
  <c r="S36" i="32"/>
  <c r="C26" i="86"/>
  <c r="G43" i="81"/>
  <c r="H20" i="79"/>
  <c r="C34" i="79"/>
  <c r="H6" i="79"/>
  <c r="F229" i="47" s="1"/>
  <c r="E31" i="33"/>
  <c r="F26" i="86"/>
  <c r="G36" i="43"/>
  <c r="AU34" i="18"/>
  <c r="E10" i="71"/>
  <c r="Z23" i="43"/>
  <c r="G17" i="81"/>
  <c r="Z13" i="43"/>
  <c r="I26" i="86"/>
  <c r="AV34" i="18"/>
  <c r="H16" i="33"/>
  <c r="Y11" i="43"/>
  <c r="Y12" i="43"/>
  <c r="Z16" i="43"/>
  <c r="Z24" i="43"/>
  <c r="G11" i="86"/>
  <c r="A1" i="43"/>
  <c r="G23" i="48"/>
  <c r="F14" i="33"/>
  <c r="E16" i="44"/>
  <c r="A1" i="6"/>
  <c r="A1" i="30"/>
  <c r="A1" i="65"/>
  <c r="A1" i="66"/>
  <c r="G31" i="81"/>
  <c r="A1" i="7"/>
  <c r="L36" i="32"/>
  <c r="L9" i="58"/>
  <c r="A1" i="74"/>
  <c r="A1" i="9"/>
  <c r="E12" i="44"/>
  <c r="C33" i="31"/>
  <c r="A1" i="45"/>
  <c r="A1" i="4"/>
  <c r="H25" i="33"/>
  <c r="F12" i="48"/>
  <c r="A1" i="48"/>
  <c r="A1" i="5"/>
  <c r="G14" i="48"/>
  <c r="G49" i="81"/>
  <c r="A1" i="31"/>
  <c r="A1" i="32"/>
  <c r="Z18" i="43"/>
  <c r="Z19" i="43"/>
  <c r="Z26" i="43"/>
  <c r="F11" i="86"/>
  <c r="B14" i="35" s="1"/>
  <c r="E26" i="86"/>
  <c r="G25" i="81"/>
  <c r="B1" i="53"/>
  <c r="A1" i="14"/>
  <c r="A1" i="71"/>
  <c r="F25" i="48"/>
  <c r="Z27" i="43"/>
  <c r="C18" i="78"/>
  <c r="A1" i="46"/>
  <c r="H26" i="86"/>
  <c r="H18" i="78"/>
  <c r="H15" i="78" s="1"/>
  <c r="A1" i="20"/>
  <c r="A1" i="29"/>
  <c r="A1" i="15"/>
  <c r="Z9" i="43"/>
  <c r="G63" i="81"/>
  <c r="H36" i="43"/>
  <c r="A1" i="35"/>
  <c r="A1" i="63"/>
  <c r="E25" i="44"/>
  <c r="D2" i="70"/>
  <c r="A1" i="44"/>
  <c r="F23" i="33"/>
  <c r="F17" i="31"/>
  <c r="H11" i="33"/>
  <c r="E10" i="44"/>
  <c r="Z21" i="43"/>
  <c r="L33" i="58"/>
  <c r="D13" i="33"/>
  <c r="A1" i="8"/>
  <c r="A1" i="64"/>
  <c r="F11" i="48"/>
  <c r="G18" i="89"/>
  <c r="G13" i="81"/>
  <c r="C1" i="18"/>
  <c r="AA1" i="18" s="1"/>
  <c r="E19" i="44"/>
  <c r="G134" i="89"/>
  <c r="G41" i="79"/>
  <c r="H29" i="79"/>
  <c r="H24" i="79" s="1"/>
  <c r="G15" i="81"/>
  <c r="C11" i="86"/>
  <c r="E11" i="71"/>
  <c r="E28" i="33"/>
  <c r="H6" i="48"/>
  <c r="C21" i="33"/>
  <c r="C16" i="31"/>
  <c r="E18" i="74"/>
  <c r="N23" i="58"/>
  <c r="I33" i="58"/>
  <c r="C10" i="29"/>
  <c r="C18" i="29"/>
  <c r="E18" i="29" s="1"/>
  <c r="E33" i="29"/>
  <c r="I33" i="29" s="1"/>
  <c r="H8" i="48"/>
  <c r="D12" i="44"/>
  <c r="D16" i="31"/>
  <c r="D20" i="31"/>
  <c r="H24" i="48"/>
  <c r="H28" i="48"/>
  <c r="H32" i="48"/>
  <c r="AK33" i="2"/>
  <c r="AI33" i="15" s="1"/>
  <c r="C33" i="33"/>
  <c r="AK30" i="2"/>
  <c r="AI29" i="15" s="1"/>
  <c r="C30" i="33"/>
  <c r="T21" i="58"/>
  <c r="E31" i="31"/>
  <c r="E20" i="33"/>
  <c r="E12" i="33"/>
  <c r="H7" i="48"/>
  <c r="D8" i="33"/>
  <c r="AK7" i="2"/>
  <c r="AI7" i="15" s="1"/>
  <c r="D28" i="45"/>
  <c r="D23" i="45"/>
  <c r="C28" i="29"/>
  <c r="F28" i="44"/>
  <c r="E28" i="74"/>
  <c r="K21" i="58"/>
  <c r="N33" i="58"/>
  <c r="Q21" i="58"/>
  <c r="T23" i="58"/>
  <c r="J23" i="58"/>
  <c r="F23" i="44"/>
  <c r="I23" i="58"/>
  <c r="E16" i="74"/>
  <c r="L23" i="58"/>
  <c r="P23" i="58"/>
  <c r="E23" i="74"/>
  <c r="E16" i="58"/>
  <c r="I16" i="58" s="1"/>
  <c r="M33" i="58"/>
  <c r="E22" i="58"/>
  <c r="C23" i="29"/>
  <c r="D16" i="45"/>
  <c r="L25" i="58"/>
  <c r="E23" i="29"/>
  <c r="E10" i="29"/>
  <c r="G10" i="29" s="1"/>
  <c r="H10" i="29" s="1"/>
  <c r="I10" i="29" s="1"/>
  <c r="E17" i="29"/>
  <c r="I17" i="58"/>
  <c r="M17" i="58" s="1"/>
  <c r="E21" i="29"/>
  <c r="G21" i="29" s="1"/>
  <c r="H21" i="29" s="1"/>
  <c r="I21" i="29" s="1"/>
  <c r="I21" i="58"/>
  <c r="M21" i="58" s="1"/>
  <c r="T34" i="14"/>
  <c r="P9" i="58"/>
  <c r="E19" i="58"/>
  <c r="L19" i="58" s="1"/>
  <c r="E7" i="58"/>
  <c r="O7" i="58" s="1"/>
  <c r="D7" i="45"/>
  <c r="F7" i="44"/>
  <c r="C7" i="29"/>
  <c r="E7" i="29" s="1"/>
  <c r="I7" i="29" s="1"/>
  <c r="O12" i="58"/>
  <c r="O9" i="58"/>
  <c r="E10" i="74"/>
  <c r="K9" i="58"/>
  <c r="D18" i="45"/>
  <c r="F18" i="44"/>
  <c r="I34" i="15"/>
  <c r="D25" i="45"/>
  <c r="E22" i="29"/>
  <c r="G22" i="29" s="1"/>
  <c r="I22" i="58"/>
  <c r="E6" i="74"/>
  <c r="E6" i="58"/>
  <c r="J6" i="58" s="1"/>
  <c r="I25" i="58"/>
  <c r="N20" i="58"/>
  <c r="C6" i="29"/>
  <c r="E6" i="29" s="1"/>
  <c r="I9" i="58"/>
  <c r="D10" i="45"/>
  <c r="F10" i="44"/>
  <c r="F231" i="47"/>
  <c r="E5" i="35"/>
  <c r="E16" i="35"/>
  <c r="D20" i="35"/>
  <c r="D21" i="35"/>
  <c r="N32" i="58"/>
  <c r="I32" i="58"/>
  <c r="T32" i="58"/>
  <c r="P32" i="58"/>
  <c r="O32" i="58"/>
  <c r="J32" i="58"/>
  <c r="R32" i="58"/>
  <c r="L32" i="58"/>
  <c r="K32" i="58"/>
  <c r="Q32" i="58"/>
  <c r="N22" i="58"/>
  <c r="J9" i="15"/>
  <c r="K22" i="58"/>
  <c r="P22" i="58"/>
  <c r="E22" i="74"/>
  <c r="J14" i="15"/>
  <c r="J21" i="15"/>
  <c r="T9" i="58"/>
  <c r="D14" i="45"/>
  <c r="J26" i="15"/>
  <c r="E14" i="29"/>
  <c r="G14" i="29" s="1"/>
  <c r="F14" i="44"/>
  <c r="O22" i="58"/>
  <c r="E28" i="29"/>
  <c r="G28" i="29" s="1"/>
  <c r="E14" i="74"/>
  <c r="F22" i="44"/>
  <c r="D29" i="45"/>
  <c r="L22" i="58"/>
  <c r="D22" i="45"/>
  <c r="F15" i="44"/>
  <c r="P12" i="58"/>
  <c r="J22" i="58"/>
  <c r="K23" i="58"/>
  <c r="M23" i="58" s="1"/>
  <c r="Q33" i="58"/>
  <c r="H32" i="29"/>
  <c r="G7" i="29"/>
  <c r="O33" i="58"/>
  <c r="J31" i="15"/>
  <c r="AB34" i="5"/>
  <c r="E32" i="33"/>
  <c r="E7" i="33"/>
  <c r="E28" i="31"/>
  <c r="E20" i="31"/>
  <c r="D15" i="33"/>
  <c r="D19" i="33"/>
  <c r="D23" i="33"/>
  <c r="D27" i="31"/>
  <c r="D31" i="44"/>
  <c r="D6" i="31"/>
  <c r="D20" i="44"/>
  <c r="D16" i="33"/>
  <c r="D32" i="44"/>
  <c r="D6" i="33"/>
  <c r="K20" i="2"/>
  <c r="C22" i="32" s="1"/>
  <c r="K26" i="2"/>
  <c r="C27" i="30" s="1"/>
  <c r="G27" i="30" s="1"/>
  <c r="C10" i="31"/>
  <c r="C23" i="31"/>
  <c r="K14" i="2"/>
  <c r="C16" i="32" s="1"/>
  <c r="M16" i="32" s="1"/>
  <c r="U35" i="7"/>
  <c r="E26" i="33"/>
  <c r="E29" i="33"/>
  <c r="E22" i="33"/>
  <c r="G22" i="33" s="1"/>
  <c r="I22" i="33" s="1"/>
  <c r="E18" i="33"/>
  <c r="E21" i="33"/>
  <c r="E13" i="31"/>
  <c r="E10" i="31"/>
  <c r="E23" i="33"/>
  <c r="D7" i="31"/>
  <c r="D11" i="44"/>
  <c r="D8" i="31"/>
  <c r="D12" i="31"/>
  <c r="H27" i="48"/>
  <c r="H19" i="48"/>
  <c r="D10" i="44"/>
  <c r="D31" i="33"/>
  <c r="C9" i="33"/>
  <c r="C20" i="33"/>
  <c r="C26" i="31"/>
  <c r="C14" i="33"/>
  <c r="G14" i="33" s="1"/>
  <c r="I14" i="33" s="1"/>
  <c r="D35" i="30"/>
  <c r="E21" i="31"/>
  <c r="E18" i="31"/>
  <c r="E17" i="31"/>
  <c r="E29" i="31"/>
  <c r="E25" i="33"/>
  <c r="E9" i="33"/>
  <c r="E7" i="31"/>
  <c r="E33" i="33"/>
  <c r="G33" i="33" s="1"/>
  <c r="E10" i="33"/>
  <c r="E30" i="33"/>
  <c r="G30" i="33" s="1"/>
  <c r="E22" i="31"/>
  <c r="E14" i="33"/>
  <c r="D24" i="44"/>
  <c r="D7" i="44"/>
  <c r="D13" i="31"/>
  <c r="D16" i="44"/>
  <c r="H13" i="48"/>
  <c r="D15" i="31"/>
  <c r="D19" i="31"/>
  <c r="H23" i="48"/>
  <c r="D27" i="44"/>
  <c r="D32" i="33"/>
  <c r="D24" i="31"/>
  <c r="H11" i="48"/>
  <c r="D11" i="33"/>
  <c r="D9" i="31"/>
  <c r="H16" i="48"/>
  <c r="D28" i="44"/>
  <c r="H20" i="48"/>
  <c r="D17" i="44"/>
  <c r="D21" i="33"/>
  <c r="H25" i="48"/>
  <c r="D29" i="31"/>
  <c r="D24" i="33"/>
  <c r="D9" i="44"/>
  <c r="D7" i="33"/>
  <c r="D28" i="33"/>
  <c r="D11" i="31"/>
  <c r="D28" i="31"/>
  <c r="D18" i="33"/>
  <c r="D22" i="31"/>
  <c r="H26" i="48"/>
  <c r="D20" i="33"/>
  <c r="C22" i="31"/>
  <c r="K16" i="2"/>
  <c r="C18" i="32" s="1"/>
  <c r="M18" i="32" s="1"/>
  <c r="C16" i="33"/>
  <c r="K6" i="2"/>
  <c r="AX6" i="18" s="1"/>
  <c r="L15" i="2"/>
  <c r="AY15" i="18" s="1"/>
  <c r="C29" i="31"/>
  <c r="C7" i="31"/>
  <c r="AK27" i="2"/>
  <c r="AI26" i="15" s="1"/>
  <c r="C27" i="31"/>
  <c r="H21" i="33"/>
  <c r="F21" i="48"/>
  <c r="G21" i="48"/>
  <c r="G17" i="48"/>
  <c r="F17" i="33"/>
  <c r="G13" i="31"/>
  <c r="G10" i="48"/>
  <c r="F10" i="48"/>
  <c r="E7" i="35"/>
  <c r="C31" i="46"/>
  <c r="C239" i="47" s="1"/>
  <c r="O34" i="14"/>
  <c r="X32" i="14"/>
  <c r="C32" i="45" s="1"/>
  <c r="E32" i="45" s="1"/>
  <c r="X22" i="14"/>
  <c r="C22" i="64" s="1"/>
  <c r="T17" i="58"/>
  <c r="W34" i="14"/>
  <c r="X20" i="14"/>
  <c r="C20" i="45" s="1"/>
  <c r="X21" i="14"/>
  <c r="C21" i="45" s="1"/>
  <c r="E21" i="45" s="1"/>
  <c r="R21" i="58"/>
  <c r="X11" i="14"/>
  <c r="C11" i="64" s="1"/>
  <c r="H11" i="64" s="1"/>
  <c r="U34" i="14"/>
  <c r="H34" i="14"/>
  <c r="X27" i="14"/>
  <c r="C27" i="45" s="1"/>
  <c r="E27" i="45" s="1"/>
  <c r="R33" i="58"/>
  <c r="X30" i="14"/>
  <c r="C30" i="45" s="1"/>
  <c r="X17" i="14"/>
  <c r="C17" i="64" s="1"/>
  <c r="H17" i="64" s="1"/>
  <c r="I17" i="64" s="1"/>
  <c r="X24" i="14"/>
  <c r="C24" i="45" s="1"/>
  <c r="X28" i="14"/>
  <c r="C28" i="45" s="1"/>
  <c r="E28" i="45" s="1"/>
  <c r="X18" i="14"/>
  <c r="C18" i="64" s="1"/>
  <c r="X26" i="14"/>
  <c r="C26" i="45" s="1"/>
  <c r="R17" i="58"/>
  <c r="R9" i="58"/>
  <c r="J34" i="14"/>
  <c r="N34" i="14"/>
  <c r="F34" i="14"/>
  <c r="V34" i="14"/>
  <c r="Q9" i="58"/>
  <c r="S34" i="14"/>
  <c r="X10" i="14"/>
  <c r="C10" i="45" s="1"/>
  <c r="X15" i="14"/>
  <c r="C15" i="64" s="1"/>
  <c r="L34" i="14"/>
  <c r="M34" i="14"/>
  <c r="AV34" i="14"/>
  <c r="D34" i="14"/>
  <c r="X8" i="14"/>
  <c r="C8" i="45" s="1"/>
  <c r="X25" i="14"/>
  <c r="C25" i="64" s="1"/>
  <c r="H25" i="64" s="1"/>
  <c r="P34" i="14"/>
  <c r="X29" i="14"/>
  <c r="C29" i="64" s="1"/>
  <c r="X19" i="14"/>
  <c r="C19" i="64" s="1"/>
  <c r="F19" i="64" s="1"/>
  <c r="X33" i="14"/>
  <c r="C33" i="64" s="1"/>
  <c r="E33" i="64" s="1"/>
  <c r="X14" i="14"/>
  <c r="C14" i="45" s="1"/>
  <c r="K34" i="14"/>
  <c r="X23" i="14"/>
  <c r="C23" i="45" s="1"/>
  <c r="E23" i="45" s="1"/>
  <c r="R23" i="58"/>
  <c r="X31" i="14"/>
  <c r="C31" i="45" s="1"/>
  <c r="E31" i="45" s="1"/>
  <c r="T22" i="58"/>
  <c r="X13" i="14"/>
  <c r="C13" i="45" s="1"/>
  <c r="Q22" i="58"/>
  <c r="R22" i="58"/>
  <c r="C11" i="45"/>
  <c r="G34" i="14"/>
  <c r="X16" i="14"/>
  <c r="I34" i="14"/>
  <c r="D11" i="64"/>
  <c r="R26" i="58"/>
  <c r="X12" i="14"/>
  <c r="X9" i="14"/>
  <c r="C9" i="64" s="1"/>
  <c r="E9" i="64" s="1"/>
  <c r="X7" i="14"/>
  <c r="Q17" i="58"/>
  <c r="R34" i="14"/>
  <c r="X6" i="14"/>
  <c r="C34" i="14"/>
  <c r="E34" i="14"/>
  <c r="Q23" i="58"/>
  <c r="I10" i="58"/>
  <c r="N10" i="58"/>
  <c r="O10" i="58"/>
  <c r="R10" i="58"/>
  <c r="K10" i="58"/>
  <c r="L10" i="58"/>
  <c r="T10" i="58"/>
  <c r="J10" i="58"/>
  <c r="P10" i="58"/>
  <c r="Q10" i="58"/>
  <c r="J31" i="58"/>
  <c r="L31" i="58"/>
  <c r="Q31" i="58"/>
  <c r="O31" i="58"/>
  <c r="K31" i="58"/>
  <c r="P31" i="58"/>
  <c r="P30" i="58"/>
  <c r="K30" i="58"/>
  <c r="L30" i="58"/>
  <c r="N30" i="58"/>
  <c r="R30" i="58"/>
  <c r="I30" i="58"/>
  <c r="Q30" i="58"/>
  <c r="T30" i="58"/>
  <c r="J30" i="58"/>
  <c r="O30" i="58"/>
  <c r="P14" i="58"/>
  <c r="Q14" i="58"/>
  <c r="J14" i="58"/>
  <c r="L14" i="58"/>
  <c r="R28" i="58"/>
  <c r="I28" i="58"/>
  <c r="J28" i="58"/>
  <c r="T28" i="58"/>
  <c r="K28" i="58"/>
  <c r="Q28" i="58"/>
  <c r="P28" i="58"/>
  <c r="N28" i="58"/>
  <c r="O28" i="58"/>
  <c r="L28" i="58"/>
  <c r="E27" i="74"/>
  <c r="O21" i="58"/>
  <c r="K27" i="58"/>
  <c r="C13" i="29"/>
  <c r="E13" i="29" s="1"/>
  <c r="D13" i="45"/>
  <c r="J24" i="15"/>
  <c r="E34" i="15"/>
  <c r="J6" i="15"/>
  <c r="R27" i="58"/>
  <c r="H16" i="29"/>
  <c r="I16" i="29" s="1"/>
  <c r="G34" i="15"/>
  <c r="J13" i="15"/>
  <c r="J20" i="15"/>
  <c r="O25" i="58"/>
  <c r="E11" i="58"/>
  <c r="N11" i="58" s="1"/>
  <c r="J32" i="15"/>
  <c r="E29" i="58"/>
  <c r="L29" i="58" s="1"/>
  <c r="O27" i="58"/>
  <c r="Q27" i="58"/>
  <c r="D30" i="45"/>
  <c r="H34" i="15"/>
  <c r="E24" i="29"/>
  <c r="G24" i="29" s="1"/>
  <c r="J7" i="15"/>
  <c r="AH34" i="15"/>
  <c r="I27" i="58"/>
  <c r="L27" i="58"/>
  <c r="J29" i="15"/>
  <c r="I20" i="58"/>
  <c r="P27" i="58"/>
  <c r="E13" i="74"/>
  <c r="E29" i="29"/>
  <c r="J12" i="15"/>
  <c r="E15" i="29"/>
  <c r="G15" i="29" s="1"/>
  <c r="J25" i="15"/>
  <c r="C30" i="29"/>
  <c r="J10" i="15"/>
  <c r="J23" i="15"/>
  <c r="J28" i="15"/>
  <c r="F27" i="44"/>
  <c r="T27" i="58"/>
  <c r="E30" i="74"/>
  <c r="F13" i="44"/>
  <c r="G32" i="29"/>
  <c r="F30" i="44"/>
  <c r="E9" i="29"/>
  <c r="G9" i="29" s="1"/>
  <c r="K35" i="30"/>
  <c r="F35" i="30"/>
  <c r="O34" i="4"/>
  <c r="P34" i="4"/>
  <c r="E35" i="30"/>
  <c r="AA34" i="5"/>
  <c r="I35" i="30"/>
  <c r="W34" i="6"/>
  <c r="E6" i="33"/>
  <c r="E13" i="33"/>
  <c r="E15" i="33"/>
  <c r="E25" i="31"/>
  <c r="E9" i="31"/>
  <c r="E27" i="33"/>
  <c r="E12" i="31"/>
  <c r="E33" i="31"/>
  <c r="E17" i="33"/>
  <c r="E14" i="31"/>
  <c r="D33" i="31"/>
  <c r="D15" i="44"/>
  <c r="D31" i="31"/>
  <c r="H10" i="48"/>
  <c r="D17" i="31"/>
  <c r="D19" i="44"/>
  <c r="D23" i="31"/>
  <c r="D12" i="33"/>
  <c r="D8" i="44"/>
  <c r="D10" i="33"/>
  <c r="D23" i="44"/>
  <c r="V35" i="8"/>
  <c r="H15" i="48"/>
  <c r="D27" i="33"/>
  <c r="D33" i="44"/>
  <c r="D25" i="31"/>
  <c r="H12" i="48"/>
  <c r="H31" i="48"/>
  <c r="D21" i="31"/>
  <c r="D25" i="33"/>
  <c r="D29" i="33"/>
  <c r="G11" i="71"/>
  <c r="H11" i="71"/>
  <c r="I10" i="71"/>
  <c r="L7" i="71"/>
  <c r="K7" i="71"/>
  <c r="K11" i="71" s="1"/>
  <c r="I7" i="71"/>
  <c r="L26" i="86"/>
  <c r="J26" i="86"/>
  <c r="D26" i="86"/>
  <c r="C6" i="33"/>
  <c r="C25" i="33"/>
  <c r="C19" i="33"/>
  <c r="L32" i="2"/>
  <c r="O34" i="32" s="1"/>
  <c r="W34" i="32" s="1"/>
  <c r="Z34" i="32" s="1"/>
  <c r="L17" i="2"/>
  <c r="H18" i="30" s="1"/>
  <c r="L18" i="30" s="1"/>
  <c r="L23" i="2"/>
  <c r="H24" i="30" s="1"/>
  <c r="L24" i="30" s="1"/>
  <c r="K25" i="2"/>
  <c r="AX25" i="18" s="1"/>
  <c r="C32" i="33"/>
  <c r="G32" i="33" s="1"/>
  <c r="I32" i="33" s="1"/>
  <c r="L18" i="2"/>
  <c r="H19" i="30" s="1"/>
  <c r="L19" i="30" s="1"/>
  <c r="AK28" i="2"/>
  <c r="AI27" i="15" s="1"/>
  <c r="L27" i="2"/>
  <c r="O29" i="32" s="1"/>
  <c r="AK23" i="2"/>
  <c r="AI18" i="15" s="1"/>
  <c r="AK14" i="2"/>
  <c r="AI22" i="15" s="1"/>
  <c r="L7" i="2"/>
  <c r="H8" i="30" s="1"/>
  <c r="L8" i="30" s="1"/>
  <c r="L11" i="2"/>
  <c r="H12" i="30" s="1"/>
  <c r="L12" i="30" s="1"/>
  <c r="C12" i="33"/>
  <c r="L29" i="2"/>
  <c r="O31" i="32" s="1"/>
  <c r="W31" i="32" s="1"/>
  <c r="Z31" i="32" s="1"/>
  <c r="C14" i="31"/>
  <c r="C21" i="31"/>
  <c r="L20" i="2"/>
  <c r="AY20" i="18" s="1"/>
  <c r="L24" i="2"/>
  <c r="AY24" i="18" s="1"/>
  <c r="AK31" i="2"/>
  <c r="AI30" i="15" s="1"/>
  <c r="C31" i="33"/>
  <c r="C28" i="31"/>
  <c r="C23" i="33"/>
  <c r="C10" i="33"/>
  <c r="AK8" i="2"/>
  <c r="AI8" i="15" s="1"/>
  <c r="AK25" i="2"/>
  <c r="AI20" i="15" s="1"/>
  <c r="L8" i="2"/>
  <c r="AY8" i="18" s="1"/>
  <c r="H33" i="30"/>
  <c r="L33" i="30" s="1"/>
  <c r="L9" i="2"/>
  <c r="AY9" i="18" s="1"/>
  <c r="C32" i="31"/>
  <c r="AK29" i="2"/>
  <c r="AI28" i="15" s="1"/>
  <c r="AK17" i="2"/>
  <c r="AI25" i="15" s="1"/>
  <c r="C17" i="31"/>
  <c r="C13" i="33"/>
  <c r="L28" i="2"/>
  <c r="H29" i="30" s="1"/>
  <c r="L29" i="30" s="1"/>
  <c r="C8" i="33"/>
  <c r="C11" i="33"/>
  <c r="K15" i="2"/>
  <c r="K7" i="2"/>
  <c r="C8" i="30" s="1"/>
  <c r="G8" i="30" s="1"/>
  <c r="K17" i="2"/>
  <c r="C19" i="32" s="1"/>
  <c r="AK9" i="2"/>
  <c r="AI9" i="15" s="1"/>
  <c r="AK20" i="2"/>
  <c r="AI13" i="15" s="1"/>
  <c r="L19" i="2"/>
  <c r="AY19" i="18" s="1"/>
  <c r="C11" i="31"/>
  <c r="H11" i="31" s="1"/>
  <c r="C8" i="31"/>
  <c r="H8" i="31" s="1"/>
  <c r="C24" i="31"/>
  <c r="C15" i="31"/>
  <c r="C12" i="31"/>
  <c r="C7" i="33"/>
  <c r="K23" i="2"/>
  <c r="C25" i="32" s="1"/>
  <c r="K10" i="2"/>
  <c r="AX10" i="18" s="1"/>
  <c r="K11" i="2"/>
  <c r="K30" i="2"/>
  <c r="C31" i="30" s="1"/>
  <c r="G31" i="30" s="1"/>
  <c r="L6" i="2"/>
  <c r="H7" i="30" s="1"/>
  <c r="L7" i="30" s="1"/>
  <c r="AY18" i="18"/>
  <c r="K12" i="2"/>
  <c r="C14" i="32" s="1"/>
  <c r="K14" i="32" s="1"/>
  <c r="N14" i="32" s="1"/>
  <c r="K21" i="2"/>
  <c r="L12" i="2"/>
  <c r="AY12" i="18" s="1"/>
  <c r="AK19" i="2"/>
  <c r="AI12" i="15" s="1"/>
  <c r="J34" i="2"/>
  <c r="C28" i="33"/>
  <c r="AK21" i="2"/>
  <c r="AI14" i="15" s="1"/>
  <c r="AX20" i="18"/>
  <c r="C15" i="33"/>
  <c r="C24" i="33"/>
  <c r="K24" i="2"/>
  <c r="C18" i="31"/>
  <c r="L31" i="2"/>
  <c r="O33" i="32" s="1"/>
  <c r="C20" i="31"/>
  <c r="H20" i="31" s="1"/>
  <c r="I34" i="2"/>
  <c r="K9" i="2"/>
  <c r="K31" i="2"/>
  <c r="C33" i="32" s="1"/>
  <c r="K28" i="2"/>
  <c r="C25" i="31"/>
  <c r="C19" i="31"/>
  <c r="C13" i="31"/>
  <c r="AK12" i="2"/>
  <c r="AI15" i="15" s="1"/>
  <c r="AK15" i="2"/>
  <c r="AI23" i="15" s="1"/>
  <c r="C34" i="2"/>
  <c r="L22" i="2"/>
  <c r="AY22" i="18" s="1"/>
  <c r="L26" i="2"/>
  <c r="L14" i="2"/>
  <c r="L16" i="2"/>
  <c r="H17" i="30" s="1"/>
  <c r="L17" i="30" s="1"/>
  <c r="O6" i="85"/>
  <c r="T8" i="58"/>
  <c r="K8" i="58"/>
  <c r="I8" i="58"/>
  <c r="P8" i="58"/>
  <c r="O8" i="58"/>
  <c r="Q8" i="58"/>
  <c r="L8" i="58"/>
  <c r="R8" i="58"/>
  <c r="N8" i="58"/>
  <c r="J8" i="58"/>
  <c r="K18" i="58"/>
  <c r="R18" i="58"/>
  <c r="P18" i="58"/>
  <c r="J18" i="58"/>
  <c r="Q18" i="58"/>
  <c r="O18" i="58"/>
  <c r="N18" i="58"/>
  <c r="I18" i="58"/>
  <c r="T18" i="58"/>
  <c r="L18" i="58"/>
  <c r="R13" i="58"/>
  <c r="K13" i="58"/>
  <c r="I13" i="58"/>
  <c r="T13" i="58"/>
  <c r="J13" i="58"/>
  <c r="P13" i="58"/>
  <c r="O13" i="58"/>
  <c r="N13" i="58"/>
  <c r="Q13" i="58"/>
  <c r="L13" i="58"/>
  <c r="F34" i="15"/>
  <c r="E20" i="74"/>
  <c r="N7" i="58"/>
  <c r="I12" i="58"/>
  <c r="E15" i="74"/>
  <c r="D20" i="45"/>
  <c r="D26" i="45"/>
  <c r="O26" i="58"/>
  <c r="P26" i="58"/>
  <c r="R20" i="58"/>
  <c r="J20" i="58"/>
  <c r="K25" i="58"/>
  <c r="R25" i="58"/>
  <c r="R14" i="58"/>
  <c r="O14" i="58"/>
  <c r="P7" i="58"/>
  <c r="D11" i="45"/>
  <c r="C19" i="29"/>
  <c r="E19" i="29" s="1"/>
  <c r="G19" i="29" s="1"/>
  <c r="H19" i="29" s="1"/>
  <c r="I19" i="29" s="1"/>
  <c r="E24" i="74"/>
  <c r="E8" i="74"/>
  <c r="D15" i="45"/>
  <c r="C11" i="29"/>
  <c r="E11" i="29" s="1"/>
  <c r="G11" i="29" s="1"/>
  <c r="J16" i="15"/>
  <c r="K12" i="58"/>
  <c r="Q20" i="58"/>
  <c r="N25" i="58"/>
  <c r="T25" i="58"/>
  <c r="F8" i="44"/>
  <c r="T12" i="58"/>
  <c r="Q12" i="58"/>
  <c r="E15" i="58"/>
  <c r="T15" i="58" s="1"/>
  <c r="D34" i="15"/>
  <c r="P11" i="58"/>
  <c r="R11" i="58"/>
  <c r="F20" i="44"/>
  <c r="N31" i="58"/>
  <c r="L26" i="58"/>
  <c r="T26" i="58"/>
  <c r="L20" i="58"/>
  <c r="P20" i="58"/>
  <c r="P25" i="58"/>
  <c r="N14" i="58"/>
  <c r="K14" i="58"/>
  <c r="E25" i="74"/>
  <c r="K7" i="58"/>
  <c r="T7" i="58"/>
  <c r="E11" i="74"/>
  <c r="E19" i="74"/>
  <c r="J8" i="15"/>
  <c r="I26" i="58"/>
  <c r="K20" i="58"/>
  <c r="L12" i="58"/>
  <c r="J16" i="58"/>
  <c r="D12" i="29"/>
  <c r="E12" i="29" s="1"/>
  <c r="R31" i="58"/>
  <c r="T31" i="58"/>
  <c r="E26" i="74"/>
  <c r="D6" i="29"/>
  <c r="C20" i="29"/>
  <c r="E20" i="29" s="1"/>
  <c r="J26" i="58"/>
  <c r="N26" i="58"/>
  <c r="O20" i="58"/>
  <c r="T20" i="58"/>
  <c r="J25" i="58"/>
  <c r="I14" i="58"/>
  <c r="T14" i="58"/>
  <c r="J29" i="58"/>
  <c r="D24" i="45"/>
  <c r="Q7" i="58"/>
  <c r="D19" i="45"/>
  <c r="D8" i="45"/>
  <c r="J27" i="15"/>
  <c r="J33" i="15"/>
  <c r="C26" i="29"/>
  <c r="E26" i="29" s="1"/>
  <c r="G26" i="29" s="1"/>
  <c r="Q26" i="58"/>
  <c r="C8" i="29"/>
  <c r="E8" i="29" s="1"/>
  <c r="G8" i="29" s="1"/>
  <c r="J12" i="58"/>
  <c r="C34" i="15"/>
  <c r="R12" i="58"/>
  <c r="I31" i="58"/>
  <c r="K11" i="58"/>
  <c r="L11" i="58"/>
  <c r="Q25" i="58"/>
  <c r="E24" i="58"/>
  <c r="L24" i="58" s="1"/>
  <c r="C25" i="29"/>
  <c r="E25" i="29" s="1"/>
  <c r="R7" i="58"/>
  <c r="F25" i="44"/>
  <c r="J17" i="15"/>
  <c r="J18" i="15"/>
  <c r="Z28" i="43"/>
  <c r="Z11" i="43"/>
  <c r="Y16" i="43"/>
  <c r="Y18" i="43"/>
  <c r="Y19" i="43"/>
  <c r="Y20" i="43"/>
  <c r="C18" i="74" s="1"/>
  <c r="D18" i="74" s="1"/>
  <c r="H18" i="74" s="1"/>
  <c r="G18" i="74" s="1"/>
  <c r="Y22" i="43"/>
  <c r="Y23" i="43"/>
  <c r="Y24" i="43"/>
  <c r="Y26" i="43"/>
  <c r="Y33" i="43"/>
  <c r="Y28" i="43"/>
  <c r="Y10" i="43"/>
  <c r="Y32" i="43"/>
  <c r="Y8" i="43"/>
  <c r="Y17" i="43"/>
  <c r="Y25" i="43"/>
  <c r="Z8" i="43"/>
  <c r="Z22" i="43"/>
  <c r="Z35" i="43"/>
  <c r="Z31" i="43"/>
  <c r="Y9" i="43"/>
  <c r="Y21" i="43"/>
  <c r="Z33" i="43"/>
  <c r="Y35" i="43"/>
  <c r="Y31" i="43"/>
  <c r="Z32" i="43"/>
  <c r="Y29" i="43"/>
  <c r="Z10" i="43"/>
  <c r="Y13" i="43"/>
  <c r="Y15" i="43"/>
  <c r="Y27" i="43"/>
  <c r="C25" i="48" s="1"/>
  <c r="Z34" i="43"/>
  <c r="Z30" i="43"/>
  <c r="Z29" i="43"/>
  <c r="Z12" i="43"/>
  <c r="Y14" i="43"/>
  <c r="Z15" i="43"/>
  <c r="Y34" i="43"/>
  <c r="Y30" i="43"/>
  <c r="A1" i="78"/>
  <c r="A1" i="79"/>
  <c r="A6" i="80"/>
  <c r="A1" i="82"/>
  <c r="A6" i="81"/>
  <c r="A1" i="85"/>
  <c r="B29" i="63"/>
  <c r="E29" i="63" s="1"/>
  <c r="U36" i="43"/>
  <c r="AY36" i="43"/>
  <c r="E16" i="85"/>
  <c r="E17" i="85"/>
  <c r="E18" i="85"/>
  <c r="E19" i="85"/>
  <c r="E12" i="85"/>
  <c r="E13" i="85"/>
  <c r="G35" i="81"/>
  <c r="G55" i="81"/>
  <c r="G29" i="81"/>
  <c r="G47" i="81"/>
  <c r="G23" i="81"/>
  <c r="G41" i="81"/>
  <c r="G61" i="81"/>
  <c r="G33" i="81"/>
  <c r="G53" i="81"/>
  <c r="G27" i="81"/>
  <c r="G45" i="81"/>
  <c r="G19" i="81"/>
  <c r="G37" i="81"/>
  <c r="C41" i="79"/>
  <c r="H17" i="79"/>
  <c r="H18" i="79"/>
  <c r="H19" i="79"/>
  <c r="H11" i="78"/>
  <c r="C19" i="78"/>
  <c r="C240" i="47" s="1"/>
  <c r="H12" i="78"/>
  <c r="AK26" i="2"/>
  <c r="AI21" i="15" s="1"/>
  <c r="K29" i="2"/>
  <c r="K27" i="2"/>
  <c r="C29" i="32" s="1"/>
  <c r="F34" i="2"/>
  <c r="AK10" i="2"/>
  <c r="AI10" i="15" s="1"/>
  <c r="AJ34" i="2"/>
  <c r="AY32" i="18"/>
  <c r="H9" i="30"/>
  <c r="L9" i="30" s="1"/>
  <c r="G34" i="2"/>
  <c r="AK18" i="2"/>
  <c r="AI31" i="15" s="1"/>
  <c r="D34" i="2"/>
  <c r="K8" i="2"/>
  <c r="AK22" i="2"/>
  <c r="AI17" i="15" s="1"/>
  <c r="K22" i="2"/>
  <c r="C26" i="33"/>
  <c r="AK32" i="2"/>
  <c r="AI32" i="15" s="1"/>
  <c r="K18" i="2"/>
  <c r="C6" i="31"/>
  <c r="C18" i="33"/>
  <c r="C17" i="33"/>
  <c r="L21" i="2"/>
  <c r="M23" i="2"/>
  <c r="AK11" i="2"/>
  <c r="AI11" i="15" s="1"/>
  <c r="K13" i="2"/>
  <c r="L33" i="2"/>
  <c r="L30" i="2"/>
  <c r="AK16" i="2"/>
  <c r="AI24" i="15" s="1"/>
  <c r="L10" i="2"/>
  <c r="AI34" i="2"/>
  <c r="K33" i="2"/>
  <c r="L25" i="2"/>
  <c r="AK13" i="2"/>
  <c r="AI16" i="15" s="1"/>
  <c r="K19" i="2"/>
  <c r="K32" i="2"/>
  <c r="Y34" i="32"/>
  <c r="H30" i="31"/>
  <c r="K16" i="32"/>
  <c r="N16" i="32" s="1"/>
  <c r="E34" i="2"/>
  <c r="AK24" i="2"/>
  <c r="AI19" i="15" s="1"/>
  <c r="K36" i="43"/>
  <c r="O36" i="43"/>
  <c r="S36" i="43"/>
  <c r="P36" i="43"/>
  <c r="C36" i="43"/>
  <c r="D36" i="43"/>
  <c r="R36" i="43"/>
  <c r="E36" i="43"/>
  <c r="L36" i="43"/>
  <c r="AZ36" i="43"/>
  <c r="Q36" i="43"/>
  <c r="G10" i="31"/>
  <c r="E6" i="44"/>
  <c r="E29" i="44"/>
  <c r="H30" i="33"/>
  <c r="E27" i="44"/>
  <c r="F27" i="31"/>
  <c r="F29" i="33"/>
  <c r="H6" i="33"/>
  <c r="E22" i="44"/>
  <c r="G31" i="31"/>
  <c r="H26" i="33"/>
  <c r="E26" i="44"/>
  <c r="F30" i="48"/>
  <c r="E30" i="44"/>
  <c r="F26" i="31"/>
  <c r="H26" i="31" s="1"/>
  <c r="F22" i="31"/>
  <c r="G29" i="29"/>
  <c r="H29" i="29" s="1"/>
  <c r="I29" i="29" s="1"/>
  <c r="I27" i="29"/>
  <c r="H27" i="29"/>
  <c r="G27" i="29"/>
  <c r="G18" i="29"/>
  <c r="H18" i="29" s="1"/>
  <c r="I18" i="29" s="1"/>
  <c r="G23" i="29"/>
  <c r="H23" i="29" s="1"/>
  <c r="I23" i="29" s="1"/>
  <c r="I31" i="29"/>
  <c r="G31" i="29"/>
  <c r="G6" i="29"/>
  <c r="H6" i="29"/>
  <c r="I6" i="29"/>
  <c r="H18" i="64"/>
  <c r="I18" i="64" s="1"/>
  <c r="E18" i="64"/>
  <c r="F18" i="64"/>
  <c r="C5" i="63"/>
  <c r="C223" i="47"/>
  <c r="I25" i="64"/>
  <c r="O6" i="58"/>
  <c r="Q6" i="58"/>
  <c r="X36" i="32"/>
  <c r="C18" i="45"/>
  <c r="H34" i="2"/>
  <c r="I36" i="43"/>
  <c r="W36" i="43"/>
  <c r="D32" i="31"/>
  <c r="J35" i="30"/>
  <c r="L11" i="71"/>
  <c r="J9" i="58"/>
  <c r="J11" i="15"/>
  <c r="J36" i="43"/>
  <c r="X36" i="43"/>
  <c r="T36" i="43"/>
  <c r="F36" i="43"/>
  <c r="AE43" i="9"/>
  <c r="C229" i="47" s="1"/>
  <c r="F19" i="33"/>
  <c r="J22" i="15"/>
  <c r="J15" i="15"/>
  <c r="J19" i="58"/>
  <c r="X34" i="6"/>
  <c r="D19" i="35"/>
  <c r="M36" i="43"/>
  <c r="V35" i="7"/>
  <c r="H17" i="33"/>
  <c r="L13" i="2"/>
  <c r="N36" i="43"/>
  <c r="Q34" i="14"/>
  <c r="B15" i="35"/>
  <c r="J19" i="15"/>
  <c r="D30" i="29"/>
  <c r="J30" i="15"/>
  <c r="D27" i="29"/>
  <c r="E16" i="31"/>
  <c r="H16" i="31" s="1"/>
  <c r="G134" i="88"/>
  <c r="E24" i="33"/>
  <c r="U35" i="8"/>
  <c r="J252" i="89"/>
  <c r="I252" i="89" s="1"/>
  <c r="F227" i="47" s="1"/>
  <c r="D11" i="86"/>
  <c r="B13" i="35" s="1"/>
  <c r="H33" i="33"/>
  <c r="H122" i="89"/>
  <c r="A1" i="33"/>
  <c r="D2" i="87"/>
  <c r="D2" i="88"/>
  <c r="D2" i="89"/>
  <c r="A1" i="86"/>
  <c r="E6" i="85"/>
  <c r="C17" i="74" l="1"/>
  <c r="D17" i="74" s="1"/>
  <c r="H17" i="74" s="1"/>
  <c r="I17" i="74" s="1"/>
  <c r="C28" i="63"/>
  <c r="C22" i="74"/>
  <c r="D22" i="74" s="1"/>
  <c r="H22" i="74" s="1"/>
  <c r="G22" i="74" s="1"/>
  <c r="C235" i="47"/>
  <c r="F228" i="47"/>
  <c r="C230" i="47"/>
  <c r="I11" i="71"/>
  <c r="E14" i="35"/>
  <c r="D14" i="35"/>
  <c r="H13" i="79"/>
  <c r="N19" i="58"/>
  <c r="I19" i="58"/>
  <c r="I11" i="64"/>
  <c r="G21" i="33"/>
  <c r="I21" i="33" s="1"/>
  <c r="C233" i="47"/>
  <c r="D26" i="48"/>
  <c r="R19" i="58"/>
  <c r="T11" i="58"/>
  <c r="G33" i="29"/>
  <c r="M22" i="58"/>
  <c r="P19" i="58"/>
  <c r="AX26" i="18"/>
  <c r="J11" i="58"/>
  <c r="C21" i="30"/>
  <c r="G21" i="30" s="1"/>
  <c r="H33" i="29"/>
  <c r="I30" i="33"/>
  <c r="E11" i="64"/>
  <c r="C28" i="32"/>
  <c r="M28" i="32" s="1"/>
  <c r="O19" i="58"/>
  <c r="O25" i="32"/>
  <c r="C30" i="48"/>
  <c r="T19" i="58"/>
  <c r="C7" i="30"/>
  <c r="I11" i="29"/>
  <c r="E14" i="45"/>
  <c r="C8" i="32"/>
  <c r="K19" i="58"/>
  <c r="O20" i="32"/>
  <c r="Y20" i="32" s="1"/>
  <c r="Q19" i="58"/>
  <c r="S19" i="58" s="1"/>
  <c r="G11" i="33"/>
  <c r="I11" i="33" s="1"/>
  <c r="H22" i="31"/>
  <c r="C25" i="44"/>
  <c r="H16" i="30"/>
  <c r="L16" i="30" s="1"/>
  <c r="B8" i="63"/>
  <c r="D8" i="63" s="1"/>
  <c r="C8" i="64"/>
  <c r="N15" i="58"/>
  <c r="H21" i="31"/>
  <c r="H33" i="31"/>
  <c r="G7" i="33"/>
  <c r="I7" i="33" s="1"/>
  <c r="H9" i="31"/>
  <c r="H15" i="31"/>
  <c r="AY29" i="18"/>
  <c r="Y31" i="32"/>
  <c r="H29" i="31"/>
  <c r="C29" i="58"/>
  <c r="C15" i="44"/>
  <c r="G15" i="44" s="1"/>
  <c r="H23" i="31"/>
  <c r="C7" i="44"/>
  <c r="G7" i="44" s="1"/>
  <c r="C30" i="64"/>
  <c r="F30" i="64" s="1"/>
  <c r="C231" i="47"/>
  <c r="G8" i="33"/>
  <c r="I8" i="33" s="1"/>
  <c r="H13" i="31"/>
  <c r="H31" i="31"/>
  <c r="H24" i="31"/>
  <c r="D23" i="58"/>
  <c r="F23" i="58" s="1"/>
  <c r="G16" i="33"/>
  <c r="I16" i="33" s="1"/>
  <c r="C26" i="30"/>
  <c r="G26" i="30" s="1"/>
  <c r="D14" i="48"/>
  <c r="AX14" i="18"/>
  <c r="C27" i="32"/>
  <c r="C15" i="30"/>
  <c r="G15" i="30" s="1"/>
  <c r="H30" i="30"/>
  <c r="L30" i="30" s="1"/>
  <c r="O13" i="32"/>
  <c r="W13" i="32" s="1"/>
  <c r="Z13" i="32" s="1"/>
  <c r="E26" i="45"/>
  <c r="N6" i="58"/>
  <c r="K6" i="58"/>
  <c r="R6" i="58"/>
  <c r="T6" i="58"/>
  <c r="P6" i="58"/>
  <c r="L6" i="58"/>
  <c r="I6" i="58"/>
  <c r="S21" i="58"/>
  <c r="C22" i="45"/>
  <c r="E22" i="45" s="1"/>
  <c r="C25" i="45"/>
  <c r="E25" i="45" s="1"/>
  <c r="S33" i="58"/>
  <c r="C32" i="64"/>
  <c r="I32" i="64" s="1"/>
  <c r="O16" i="58"/>
  <c r="R16" i="58"/>
  <c r="E18" i="45"/>
  <c r="N29" i="58"/>
  <c r="N16" i="58"/>
  <c r="Q29" i="58"/>
  <c r="K16" i="58"/>
  <c r="T29" i="58"/>
  <c r="G17" i="29"/>
  <c r="H17" i="29" s="1"/>
  <c r="I17" i="29" s="1"/>
  <c r="P16" i="58"/>
  <c r="M25" i="58"/>
  <c r="L16" i="58"/>
  <c r="Q16" i="58"/>
  <c r="K29" i="58"/>
  <c r="T16" i="58"/>
  <c r="M27" i="58"/>
  <c r="O29" i="58"/>
  <c r="C27" i="64"/>
  <c r="H27" i="64" s="1"/>
  <c r="C31" i="64"/>
  <c r="E31" i="64" s="1"/>
  <c r="C20" i="64"/>
  <c r="F20" i="64" s="1"/>
  <c r="C23" i="64"/>
  <c r="F23" i="64" s="1"/>
  <c r="E25" i="64"/>
  <c r="F25" i="64" s="1"/>
  <c r="J25" i="64" s="1"/>
  <c r="C14" i="64"/>
  <c r="E11" i="45"/>
  <c r="E20" i="45"/>
  <c r="S23" i="58"/>
  <c r="C26" i="64"/>
  <c r="F26" i="64" s="1"/>
  <c r="C15" i="45"/>
  <c r="E15" i="45" s="1"/>
  <c r="H24" i="29"/>
  <c r="H8" i="29"/>
  <c r="I8" i="29"/>
  <c r="H26" i="29"/>
  <c r="I26" i="29" s="1"/>
  <c r="H28" i="29"/>
  <c r="I28" i="29" s="1"/>
  <c r="H22" i="29"/>
  <c r="I22" i="29" s="1"/>
  <c r="H7" i="29"/>
  <c r="J7" i="58"/>
  <c r="I7" i="58"/>
  <c r="L7" i="58"/>
  <c r="S32" i="58"/>
  <c r="F11" i="64"/>
  <c r="M28" i="58"/>
  <c r="E10" i="45"/>
  <c r="M9" i="58"/>
  <c r="C9" i="45"/>
  <c r="E9" i="45" s="1"/>
  <c r="C10" i="64"/>
  <c r="S17" i="58"/>
  <c r="H9" i="64"/>
  <c r="I9" i="64" s="1"/>
  <c r="H11" i="29"/>
  <c r="M20" i="58"/>
  <c r="M31" i="58"/>
  <c r="M30" i="58"/>
  <c r="H14" i="29"/>
  <c r="I14" i="29" s="1"/>
  <c r="E13" i="45"/>
  <c r="S6" i="58"/>
  <c r="S9" i="58"/>
  <c r="E30" i="45"/>
  <c r="M16" i="58"/>
  <c r="M10" i="58"/>
  <c r="M32" i="58"/>
  <c r="C232" i="47"/>
  <c r="G15" i="33"/>
  <c r="I15" i="33" s="1"/>
  <c r="H28" i="31"/>
  <c r="G12" i="33"/>
  <c r="I12" i="33" s="1"/>
  <c r="H25" i="31"/>
  <c r="H28" i="30"/>
  <c r="L28" i="30" s="1"/>
  <c r="AY27" i="18"/>
  <c r="AX7" i="18"/>
  <c r="C10" i="30"/>
  <c r="G10" i="30" s="1"/>
  <c r="AY17" i="18"/>
  <c r="C24" i="44"/>
  <c r="G24" i="44" s="1"/>
  <c r="M7" i="2"/>
  <c r="AA9" i="43" s="1"/>
  <c r="C7" i="58"/>
  <c r="O19" i="32"/>
  <c r="Y19" i="32" s="1"/>
  <c r="H7" i="31"/>
  <c r="D7" i="48"/>
  <c r="G9" i="33"/>
  <c r="I9" i="33" s="1"/>
  <c r="C234" i="47"/>
  <c r="G18" i="33"/>
  <c r="I18" i="33" s="1"/>
  <c r="H18" i="31"/>
  <c r="H14" i="31"/>
  <c r="H10" i="31"/>
  <c r="G13" i="33"/>
  <c r="I13" i="33" s="1"/>
  <c r="G23" i="33"/>
  <c r="I23" i="33" s="1"/>
  <c r="G6" i="33"/>
  <c r="I6" i="33" s="1"/>
  <c r="G31" i="33"/>
  <c r="I31" i="33" s="1"/>
  <c r="H19" i="31"/>
  <c r="G20" i="33"/>
  <c r="I20" i="33" s="1"/>
  <c r="O8" i="32"/>
  <c r="C6" i="58"/>
  <c r="AX16" i="18"/>
  <c r="H27" i="31"/>
  <c r="C6" i="44"/>
  <c r="D6" i="58"/>
  <c r="G6" i="58" s="1"/>
  <c r="C17" i="30"/>
  <c r="G17" i="30" s="1"/>
  <c r="D6" i="48"/>
  <c r="D11" i="48"/>
  <c r="K18" i="32"/>
  <c r="N18" i="32" s="1"/>
  <c r="O17" i="32"/>
  <c r="AY6" i="18"/>
  <c r="I6" i="31"/>
  <c r="D25" i="58"/>
  <c r="G25" i="58" s="1"/>
  <c r="B22" i="63"/>
  <c r="D22" i="63" s="1"/>
  <c r="M6" i="2"/>
  <c r="I9" i="31"/>
  <c r="J9" i="31" s="1"/>
  <c r="H12" i="31"/>
  <c r="D34" i="31"/>
  <c r="G10" i="33"/>
  <c r="I10" i="33" s="1"/>
  <c r="G28" i="33"/>
  <c r="I28" i="33" s="1"/>
  <c r="D34" i="33"/>
  <c r="G29" i="33"/>
  <c r="I29" i="33" s="1"/>
  <c r="C18" i="30"/>
  <c r="G18" i="30" s="1"/>
  <c r="C9" i="32"/>
  <c r="K9" i="32" s="1"/>
  <c r="N9" i="32" s="1"/>
  <c r="I10" i="31"/>
  <c r="I7" i="31"/>
  <c r="K28" i="32"/>
  <c r="N28" i="32" s="1"/>
  <c r="C21" i="64"/>
  <c r="F21" i="64" s="1"/>
  <c r="E17" i="64"/>
  <c r="F17" i="64" s="1"/>
  <c r="J17" i="64" s="1"/>
  <c r="C19" i="45"/>
  <c r="E19" i="45" s="1"/>
  <c r="C17" i="45"/>
  <c r="E17" i="45" s="1"/>
  <c r="S22" i="58"/>
  <c r="F15" i="64"/>
  <c r="H15" i="64"/>
  <c r="I15" i="64" s="1"/>
  <c r="F29" i="64"/>
  <c r="E29" i="64"/>
  <c r="C28" i="64"/>
  <c r="F28" i="64" s="1"/>
  <c r="E24" i="45"/>
  <c r="F33" i="64"/>
  <c r="C24" i="64"/>
  <c r="H33" i="64"/>
  <c r="I33" i="64" s="1"/>
  <c r="E8" i="45"/>
  <c r="S14" i="58"/>
  <c r="C13" i="64"/>
  <c r="C29" i="45"/>
  <c r="E29" i="45" s="1"/>
  <c r="C33" i="45"/>
  <c r="E33" i="45" s="1"/>
  <c r="J11" i="64"/>
  <c r="C6" i="64"/>
  <c r="X34" i="14"/>
  <c r="C6" i="45"/>
  <c r="E6" i="45" s="1"/>
  <c r="E27" i="64"/>
  <c r="I27" i="64"/>
  <c r="F27" i="64"/>
  <c r="S12" i="58"/>
  <c r="C16" i="45"/>
  <c r="E16" i="45" s="1"/>
  <c r="C16" i="64"/>
  <c r="H8" i="64"/>
  <c r="E8" i="64"/>
  <c r="F8" i="64"/>
  <c r="I8" i="64"/>
  <c r="H29" i="64"/>
  <c r="I29" i="64" s="1"/>
  <c r="J29" i="64" s="1"/>
  <c r="H23" i="64"/>
  <c r="I23" i="64" s="1"/>
  <c r="E15" i="64"/>
  <c r="S30" i="58"/>
  <c r="C7" i="45"/>
  <c r="E7" i="45" s="1"/>
  <c r="C7" i="64"/>
  <c r="H21" i="64"/>
  <c r="I21" i="64" s="1"/>
  <c r="F9" i="64"/>
  <c r="E10" i="64"/>
  <c r="F10" i="64" s="1"/>
  <c r="C12" i="45"/>
  <c r="E12" i="45" s="1"/>
  <c r="C12" i="64"/>
  <c r="H19" i="64"/>
  <c r="I19" i="64" s="1"/>
  <c r="J19" i="64" s="1"/>
  <c r="E19" i="64"/>
  <c r="S18" i="58"/>
  <c r="G25" i="44"/>
  <c r="G12" i="29"/>
  <c r="H12" i="29" s="1"/>
  <c r="I12" i="29" s="1"/>
  <c r="S31" i="58"/>
  <c r="H15" i="29"/>
  <c r="I15" i="29" s="1"/>
  <c r="I29" i="58"/>
  <c r="M29" i="58" s="1"/>
  <c r="P29" i="58"/>
  <c r="R29" i="58"/>
  <c r="G13" i="29"/>
  <c r="H13" i="29" s="1"/>
  <c r="I13" i="29" s="1"/>
  <c r="S10" i="58"/>
  <c r="E30" i="29"/>
  <c r="I24" i="29"/>
  <c r="S27" i="58"/>
  <c r="S28" i="58"/>
  <c r="M13" i="58"/>
  <c r="I11" i="58"/>
  <c r="Q11" i="58"/>
  <c r="S11" i="58" s="1"/>
  <c r="O11" i="58"/>
  <c r="H9" i="29"/>
  <c r="I9" i="29" s="1"/>
  <c r="E34" i="33"/>
  <c r="G17" i="33"/>
  <c r="I17" i="33" s="1"/>
  <c r="G27" i="33"/>
  <c r="I27" i="33" s="1"/>
  <c r="G25" i="33"/>
  <c r="I25" i="33" s="1"/>
  <c r="H17" i="31"/>
  <c r="F240" i="47"/>
  <c r="C32" i="32"/>
  <c r="H25" i="30"/>
  <c r="L25" i="30" s="1"/>
  <c r="AY7" i="18"/>
  <c r="AW7" i="18" s="1"/>
  <c r="C29" i="44"/>
  <c r="G29" i="44" s="1"/>
  <c r="C11" i="58"/>
  <c r="M31" i="2"/>
  <c r="Y31" i="6" s="1"/>
  <c r="C28" i="58"/>
  <c r="AY23" i="18"/>
  <c r="O9" i="32"/>
  <c r="Y9" i="32" s="1"/>
  <c r="AY11" i="18"/>
  <c r="AX11" i="18"/>
  <c r="C25" i="30"/>
  <c r="G25" i="30" s="1"/>
  <c r="D29" i="58"/>
  <c r="H29" i="58" s="1"/>
  <c r="H32" i="31"/>
  <c r="C13" i="32"/>
  <c r="M13" i="32" s="1"/>
  <c r="M29" i="2"/>
  <c r="O26" i="32"/>
  <c r="W26" i="32" s="1"/>
  <c r="Z26" i="32" s="1"/>
  <c r="O14" i="32"/>
  <c r="C31" i="32"/>
  <c r="M31" i="32" s="1"/>
  <c r="AX24" i="18"/>
  <c r="AW24" i="18" s="1"/>
  <c r="I15" i="31"/>
  <c r="J15" i="31" s="1"/>
  <c r="D7" i="58"/>
  <c r="H7" i="58" s="1"/>
  <c r="D29" i="48"/>
  <c r="O10" i="32"/>
  <c r="Y10" i="32" s="1"/>
  <c r="I20" i="31"/>
  <c r="J20" i="31" s="1"/>
  <c r="I25" i="31"/>
  <c r="O11" i="32"/>
  <c r="W11" i="32" s="1"/>
  <c r="Z11" i="32" s="1"/>
  <c r="I29" i="31"/>
  <c r="H27" i="30"/>
  <c r="L27" i="30" s="1"/>
  <c r="B15" i="63"/>
  <c r="D15" i="63" s="1"/>
  <c r="C20" i="44"/>
  <c r="G20" i="44" s="1"/>
  <c r="O28" i="32"/>
  <c r="Y28" i="32" s="1"/>
  <c r="I26" i="31"/>
  <c r="J26" i="31" s="1"/>
  <c r="C9" i="58"/>
  <c r="D20" i="58"/>
  <c r="F20" i="58" s="1"/>
  <c r="C9" i="44"/>
  <c r="G9" i="44" s="1"/>
  <c r="M26" i="2"/>
  <c r="AA28" i="43" s="1"/>
  <c r="H21" i="30"/>
  <c r="L21" i="30" s="1"/>
  <c r="C20" i="58"/>
  <c r="C25" i="58"/>
  <c r="D20" i="48"/>
  <c r="D9" i="48"/>
  <c r="AW20" i="18"/>
  <c r="C27" i="44"/>
  <c r="G27" i="44" s="1"/>
  <c r="O22" i="32"/>
  <c r="H10" i="30"/>
  <c r="L10" i="30" s="1"/>
  <c r="M9" i="2"/>
  <c r="Q9" i="4" s="1"/>
  <c r="M20" i="2"/>
  <c r="W21" i="7" s="1"/>
  <c r="C12" i="44"/>
  <c r="G12" i="44" s="1"/>
  <c r="I23" i="31"/>
  <c r="D24" i="48"/>
  <c r="O30" i="32"/>
  <c r="Y30" i="32" s="1"/>
  <c r="H23" i="30"/>
  <c r="L23" i="30" s="1"/>
  <c r="M24" i="2"/>
  <c r="K24" i="15" s="1"/>
  <c r="D15" i="58"/>
  <c r="G15" i="58" s="1"/>
  <c r="M15" i="2"/>
  <c r="AC15" i="5" s="1"/>
  <c r="O24" i="32"/>
  <c r="B9" i="63"/>
  <c r="D9" i="63" s="1"/>
  <c r="H13" i="30"/>
  <c r="L13" i="30" s="1"/>
  <c r="C26" i="32"/>
  <c r="M26" i="32" s="1"/>
  <c r="D15" i="48"/>
  <c r="C24" i="30"/>
  <c r="G24" i="30" s="1"/>
  <c r="O18" i="32"/>
  <c r="Y18" i="32" s="1"/>
  <c r="M25" i="2"/>
  <c r="AA27" i="43" s="1"/>
  <c r="AX30" i="18"/>
  <c r="I24" i="31"/>
  <c r="M30" i="2"/>
  <c r="Q30" i="4" s="1"/>
  <c r="D24" i="58"/>
  <c r="H24" i="58" s="1"/>
  <c r="AY26" i="18"/>
  <c r="AX15" i="18"/>
  <c r="AW15" i="18" s="1"/>
  <c r="C17" i="32"/>
  <c r="M17" i="32" s="1"/>
  <c r="H20" i="30"/>
  <c r="L20" i="30" s="1"/>
  <c r="D28" i="58"/>
  <c r="F28" i="58" s="1"/>
  <c r="C29" i="30"/>
  <c r="G29" i="30" s="1"/>
  <c r="C23" i="44"/>
  <c r="G23" i="44" s="1"/>
  <c r="C16" i="30"/>
  <c r="G16" i="30" s="1"/>
  <c r="AX28" i="18"/>
  <c r="I19" i="31"/>
  <c r="D23" i="48"/>
  <c r="C24" i="58"/>
  <c r="C15" i="58"/>
  <c r="K19" i="32"/>
  <c r="N19" i="32" s="1"/>
  <c r="M19" i="32"/>
  <c r="I28" i="31"/>
  <c r="C30" i="32"/>
  <c r="M30" i="32" s="1"/>
  <c r="M28" i="2"/>
  <c r="Q28" i="20" s="1"/>
  <c r="H15" i="30"/>
  <c r="L15" i="30" s="1"/>
  <c r="O21" i="32"/>
  <c r="D17" i="48"/>
  <c r="C17" i="58"/>
  <c r="D28" i="48"/>
  <c r="H32" i="30"/>
  <c r="L32" i="30" s="1"/>
  <c r="C17" i="44"/>
  <c r="G17" i="44" s="1"/>
  <c r="B17" i="63"/>
  <c r="D17" i="63" s="1"/>
  <c r="D31" i="58"/>
  <c r="H31" i="58" s="1"/>
  <c r="D27" i="58"/>
  <c r="F27" i="58" s="1"/>
  <c r="C12" i="30"/>
  <c r="G12" i="30" s="1"/>
  <c r="M17" i="2"/>
  <c r="W26" i="8" s="1"/>
  <c r="I17" i="31"/>
  <c r="M11" i="2"/>
  <c r="W12" i="8" s="1"/>
  <c r="AX17" i="18"/>
  <c r="AW17" i="18" s="1"/>
  <c r="C28" i="44"/>
  <c r="G28" i="44" s="1"/>
  <c r="C34" i="31"/>
  <c r="AY28" i="18"/>
  <c r="D17" i="58"/>
  <c r="D11" i="58"/>
  <c r="G11" i="58" s="1"/>
  <c r="D14" i="58"/>
  <c r="H14" i="58" s="1"/>
  <c r="I33" i="33"/>
  <c r="D27" i="48"/>
  <c r="C14" i="58"/>
  <c r="C31" i="44"/>
  <c r="G31" i="44" s="1"/>
  <c r="D12" i="48"/>
  <c r="K25" i="32"/>
  <c r="N25" i="32" s="1"/>
  <c r="M25" i="32"/>
  <c r="C34" i="33"/>
  <c r="I12" i="31"/>
  <c r="C13" i="30"/>
  <c r="G13" i="30" s="1"/>
  <c r="C11" i="30"/>
  <c r="G11" i="30" s="1"/>
  <c r="Y29" i="32"/>
  <c r="W29" i="32"/>
  <c r="Z29" i="32" s="1"/>
  <c r="C12" i="32"/>
  <c r="K12" i="32" s="1"/>
  <c r="N12" i="32" s="1"/>
  <c r="M12" i="2"/>
  <c r="I11" i="31"/>
  <c r="J11" i="31" s="1"/>
  <c r="AX29" i="18"/>
  <c r="AW29" i="18" s="1"/>
  <c r="AX31" i="18"/>
  <c r="D12" i="58"/>
  <c r="H12" i="58" s="1"/>
  <c r="C30" i="30"/>
  <c r="G30" i="30" s="1"/>
  <c r="C11" i="32"/>
  <c r="D9" i="58"/>
  <c r="G9" i="58" s="1"/>
  <c r="AX12" i="18"/>
  <c r="AW12" i="18" s="1"/>
  <c r="C11" i="44"/>
  <c r="G11" i="44" s="1"/>
  <c r="AX23" i="18"/>
  <c r="B24" i="63"/>
  <c r="D24" i="63" s="1"/>
  <c r="B10" i="63"/>
  <c r="D10" i="63" s="1"/>
  <c r="C26" i="58"/>
  <c r="C32" i="30"/>
  <c r="G32" i="30" s="1"/>
  <c r="C26" i="44"/>
  <c r="G26" i="44" s="1"/>
  <c r="C12" i="58"/>
  <c r="M27" i="2"/>
  <c r="Q27" i="20" s="1"/>
  <c r="AX9" i="18"/>
  <c r="AW9" i="18" s="1"/>
  <c r="C23" i="58"/>
  <c r="AX21" i="18"/>
  <c r="C22" i="30"/>
  <c r="G22" i="30" s="1"/>
  <c r="C23" i="32"/>
  <c r="M14" i="32"/>
  <c r="D16" i="48"/>
  <c r="I16" i="31"/>
  <c r="J16" i="31" s="1"/>
  <c r="K22" i="32"/>
  <c r="N22" i="32" s="1"/>
  <c r="M22" i="32"/>
  <c r="D31" i="48"/>
  <c r="C31" i="58"/>
  <c r="AY31" i="18"/>
  <c r="M16" i="2"/>
  <c r="AC16" i="5" s="1"/>
  <c r="M14" i="2"/>
  <c r="AC14" i="5" s="1"/>
  <c r="D30" i="48"/>
  <c r="I31" i="31"/>
  <c r="G26" i="33"/>
  <c r="I26" i="33" s="1"/>
  <c r="D16" i="58"/>
  <c r="H16" i="58" s="1"/>
  <c r="AY14" i="18"/>
  <c r="AW14" i="18" s="1"/>
  <c r="I30" i="31"/>
  <c r="J30" i="31" s="1"/>
  <c r="AY16" i="18"/>
  <c r="I14" i="31"/>
  <c r="C16" i="44"/>
  <c r="G16" i="44" s="1"/>
  <c r="O16" i="32"/>
  <c r="W16" i="32" s="1"/>
  <c r="Z16" i="32" s="1"/>
  <c r="D26" i="58"/>
  <c r="G26" i="58" s="1"/>
  <c r="G6" i="44"/>
  <c r="D30" i="58"/>
  <c r="F30" i="58" s="1"/>
  <c r="C30" i="58"/>
  <c r="W10" i="32"/>
  <c r="Z10" i="32" s="1"/>
  <c r="H6" i="31"/>
  <c r="C16" i="58"/>
  <c r="C14" i="44"/>
  <c r="G14" i="44" s="1"/>
  <c r="K15" i="15"/>
  <c r="M12" i="58"/>
  <c r="S25" i="58"/>
  <c r="G25" i="29"/>
  <c r="H25" i="29" s="1"/>
  <c r="I25" i="29" s="1"/>
  <c r="S20" i="58"/>
  <c r="S26" i="58"/>
  <c r="S8" i="58"/>
  <c r="K24" i="58"/>
  <c r="Q24" i="58"/>
  <c r="R24" i="58"/>
  <c r="J24" i="58"/>
  <c r="O24" i="58"/>
  <c r="T24" i="58"/>
  <c r="N24" i="58"/>
  <c r="I24" i="58"/>
  <c r="P24" i="58"/>
  <c r="S7" i="58"/>
  <c r="M14" i="58"/>
  <c r="K15" i="58"/>
  <c r="J15" i="58"/>
  <c r="P15" i="58"/>
  <c r="O15" i="58"/>
  <c r="Q15" i="58"/>
  <c r="R15" i="58"/>
  <c r="I15" i="58"/>
  <c r="L15" i="58"/>
  <c r="S13" i="58"/>
  <c r="M8" i="58"/>
  <c r="G20" i="29"/>
  <c r="H20" i="29" s="1"/>
  <c r="I20" i="29" s="1"/>
  <c r="M26" i="58"/>
  <c r="M18" i="58"/>
  <c r="E14" i="85"/>
  <c r="E15" i="85"/>
  <c r="C30" i="74"/>
  <c r="D30" i="74" s="1"/>
  <c r="H30" i="74" s="1"/>
  <c r="I30" i="74" s="1"/>
  <c r="C18" i="48"/>
  <c r="I18" i="74"/>
  <c r="C21" i="48"/>
  <c r="C13" i="65"/>
  <c r="D13" i="65" s="1"/>
  <c r="C20" i="65"/>
  <c r="D20" i="65" s="1"/>
  <c r="F243" i="47" s="1"/>
  <c r="C25" i="74"/>
  <c r="D25" i="74" s="1"/>
  <c r="H25" i="74" s="1"/>
  <c r="E7" i="85"/>
  <c r="H8" i="78"/>
  <c r="C28" i="30"/>
  <c r="G28" i="30" s="1"/>
  <c r="I27" i="31"/>
  <c r="AX27" i="18"/>
  <c r="C27" i="58"/>
  <c r="W22" i="8"/>
  <c r="C10" i="58"/>
  <c r="B16" i="63"/>
  <c r="D16" i="63" s="1"/>
  <c r="D10" i="48"/>
  <c r="L34" i="2"/>
  <c r="B23" i="63"/>
  <c r="D23" i="63" s="1"/>
  <c r="M19" i="2"/>
  <c r="Y19" i="6" s="1"/>
  <c r="D19" i="58"/>
  <c r="H19" i="58" s="1"/>
  <c r="M21" i="2"/>
  <c r="O23" i="32"/>
  <c r="I21" i="31"/>
  <c r="D21" i="58"/>
  <c r="H22" i="30"/>
  <c r="L22" i="30" s="1"/>
  <c r="D21" i="48"/>
  <c r="AY21" i="18"/>
  <c r="C21" i="44"/>
  <c r="G21" i="44" s="1"/>
  <c r="C21" i="58"/>
  <c r="C19" i="44"/>
  <c r="G19" i="44" s="1"/>
  <c r="C19" i="58"/>
  <c r="D19" i="48"/>
  <c r="AX19" i="18"/>
  <c r="AW19" i="18" s="1"/>
  <c r="C20" i="30"/>
  <c r="G20" i="30" s="1"/>
  <c r="Q28" i="4"/>
  <c r="AY25" i="18"/>
  <c r="AW25" i="18" s="1"/>
  <c r="D25" i="48"/>
  <c r="O27" i="32"/>
  <c r="H26" i="30"/>
  <c r="L26" i="30" s="1"/>
  <c r="H11" i="30"/>
  <c r="L11" i="30" s="1"/>
  <c r="AY10" i="18"/>
  <c r="AW10" i="18" s="1"/>
  <c r="O12" i="32"/>
  <c r="C10" i="44"/>
  <c r="G10" i="44" s="1"/>
  <c r="M10" i="2"/>
  <c r="D10" i="58"/>
  <c r="D8" i="58"/>
  <c r="C8" i="44"/>
  <c r="G8" i="44" s="1"/>
  <c r="AX8" i="18"/>
  <c r="AW8" i="18" s="1"/>
  <c r="I8" i="31"/>
  <c r="J8" i="31" s="1"/>
  <c r="C9" i="30"/>
  <c r="G9" i="30" s="1"/>
  <c r="M8" i="2"/>
  <c r="C10" i="32"/>
  <c r="D8" i="48"/>
  <c r="C8" i="58"/>
  <c r="H6" i="58"/>
  <c r="Y9" i="6"/>
  <c r="Y25" i="32"/>
  <c r="W25" i="32"/>
  <c r="Z25" i="32" s="1"/>
  <c r="W8" i="32"/>
  <c r="Z8" i="32" s="1"/>
  <c r="Y8" i="32"/>
  <c r="Y22" i="32"/>
  <c r="W22" i="32"/>
  <c r="Z22" i="32" s="1"/>
  <c r="C19" i="30"/>
  <c r="G19" i="30" s="1"/>
  <c r="AX18" i="18"/>
  <c r="AW18" i="18" s="1"/>
  <c r="I18" i="31"/>
  <c r="C18" i="58"/>
  <c r="M18" i="2"/>
  <c r="C18" i="44"/>
  <c r="G18" i="44" s="1"/>
  <c r="C20" i="32"/>
  <c r="D18" i="58"/>
  <c r="D18" i="48"/>
  <c r="Y33" i="32"/>
  <c r="W33" i="32"/>
  <c r="Z33" i="32" s="1"/>
  <c r="K34" i="2"/>
  <c r="AY30" i="18"/>
  <c r="O32" i="32"/>
  <c r="H31" i="30"/>
  <c r="L31" i="30" s="1"/>
  <c r="C30" i="44"/>
  <c r="G30" i="44" s="1"/>
  <c r="Y23" i="6"/>
  <c r="AA25" i="43"/>
  <c r="K23" i="15"/>
  <c r="AC23" i="5"/>
  <c r="AZ23" i="18"/>
  <c r="Q23" i="4"/>
  <c r="W24" i="7"/>
  <c r="Q23" i="20"/>
  <c r="Y23" i="14"/>
  <c r="W19" i="8"/>
  <c r="C21" i="32"/>
  <c r="K21" i="32" s="1"/>
  <c r="N21" i="32" s="1"/>
  <c r="C34" i="30"/>
  <c r="G34" i="30" s="1"/>
  <c r="C35" i="32"/>
  <c r="D33" i="48"/>
  <c r="D33" i="58"/>
  <c r="AX33" i="18"/>
  <c r="C33" i="44"/>
  <c r="G33" i="44" s="1"/>
  <c r="I33" i="31"/>
  <c r="J33" i="31" s="1"/>
  <c r="C33" i="58"/>
  <c r="M33" i="2"/>
  <c r="AY33" i="18"/>
  <c r="O35" i="32"/>
  <c r="H34" i="30"/>
  <c r="L34" i="30" s="1"/>
  <c r="W14" i="32"/>
  <c r="Z14" i="32" s="1"/>
  <c r="Y14" i="32"/>
  <c r="C32" i="44"/>
  <c r="G32" i="44" s="1"/>
  <c r="D32" i="48"/>
  <c r="M32" i="2"/>
  <c r="C32" i="58"/>
  <c r="D32" i="58"/>
  <c r="C34" i="32"/>
  <c r="AX32" i="18"/>
  <c r="AW32" i="18" s="1"/>
  <c r="C33" i="30"/>
  <c r="G33" i="30" s="1"/>
  <c r="I32" i="31"/>
  <c r="C14" i="30"/>
  <c r="G14" i="30" s="1"/>
  <c r="AX13" i="18"/>
  <c r="C15" i="32"/>
  <c r="C22" i="44"/>
  <c r="G22" i="44" s="1"/>
  <c r="AX22" i="18"/>
  <c r="AW22" i="18" s="1"/>
  <c r="D22" i="48"/>
  <c r="M22" i="2"/>
  <c r="C23" i="30"/>
  <c r="G23" i="30" s="1"/>
  <c r="C24" i="32"/>
  <c r="C22" i="58"/>
  <c r="I22" i="31"/>
  <c r="J22" i="31" s="1"/>
  <c r="D22" i="58"/>
  <c r="M32" i="32"/>
  <c r="K32" i="32"/>
  <c r="N32" i="32" s="1"/>
  <c r="Y31" i="14"/>
  <c r="AZ31" i="18"/>
  <c r="K33" i="32"/>
  <c r="N33" i="32" s="1"/>
  <c r="M33" i="32"/>
  <c r="Q29" i="4"/>
  <c r="Y29" i="14"/>
  <c r="AC29" i="5"/>
  <c r="W30" i="7"/>
  <c r="Q29" i="20"/>
  <c r="AZ29" i="18"/>
  <c r="W29" i="8"/>
  <c r="K29" i="15"/>
  <c r="AA31" i="43"/>
  <c r="Y29" i="6"/>
  <c r="K29" i="32"/>
  <c r="N29" i="32" s="1"/>
  <c r="M29" i="32"/>
  <c r="C20" i="74"/>
  <c r="D20" i="74" s="1"/>
  <c r="H20" i="74" s="1"/>
  <c r="C20" i="48"/>
  <c r="C31" i="48"/>
  <c r="C31" i="74"/>
  <c r="D31" i="74" s="1"/>
  <c r="H31" i="74" s="1"/>
  <c r="C24" i="48"/>
  <c r="C24" i="74"/>
  <c r="D24" i="74" s="1"/>
  <c r="H24" i="74" s="1"/>
  <c r="C22" i="48"/>
  <c r="C23" i="48"/>
  <c r="C23" i="74"/>
  <c r="D23" i="74" s="1"/>
  <c r="H23" i="74" s="1"/>
  <c r="C21" i="74"/>
  <c r="D21" i="74" s="1"/>
  <c r="H21" i="74" s="1"/>
  <c r="C26" i="48"/>
  <c r="C26" i="74"/>
  <c r="D26" i="74" s="1"/>
  <c r="H26" i="74" s="1"/>
  <c r="C19" i="74"/>
  <c r="D19" i="74" s="1"/>
  <c r="H19" i="74" s="1"/>
  <c r="C19" i="48"/>
  <c r="C16" i="48"/>
  <c r="C16" i="74"/>
  <c r="D16" i="74" s="1"/>
  <c r="H16" i="74" s="1"/>
  <c r="C8" i="74"/>
  <c r="D8" i="74" s="1"/>
  <c r="H8" i="74" s="1"/>
  <c r="C8" i="48"/>
  <c r="C15" i="74"/>
  <c r="D15" i="74" s="1"/>
  <c r="H15" i="74" s="1"/>
  <c r="C15" i="48"/>
  <c r="C17" i="48"/>
  <c r="G34" i="31"/>
  <c r="F34" i="31"/>
  <c r="D13" i="35"/>
  <c r="E13" i="35"/>
  <c r="C226" i="47"/>
  <c r="W7" i="7"/>
  <c r="AC6" i="5"/>
  <c r="Y6" i="14"/>
  <c r="Q6" i="4"/>
  <c r="Y6" i="6"/>
  <c r="W7" i="8"/>
  <c r="Q6" i="20"/>
  <c r="AA8" i="43"/>
  <c r="K6" i="15"/>
  <c r="AZ6" i="18"/>
  <c r="C10" i="74"/>
  <c r="D10" i="74" s="1"/>
  <c r="H10" i="74" s="1"/>
  <c r="C10" i="48"/>
  <c r="C13" i="48"/>
  <c r="C13" i="74"/>
  <c r="D13" i="74" s="1"/>
  <c r="H13" i="74" s="1"/>
  <c r="C29" i="74"/>
  <c r="D29" i="74" s="1"/>
  <c r="H29" i="74" s="1"/>
  <c r="C29" i="48"/>
  <c r="M19" i="58"/>
  <c r="M27" i="32"/>
  <c r="K27" i="32"/>
  <c r="N27" i="32" s="1"/>
  <c r="K8" i="32"/>
  <c r="N8" i="32" s="1"/>
  <c r="M8" i="32"/>
  <c r="C7" i="48"/>
  <c r="C7" i="74"/>
  <c r="D7" i="74" s="1"/>
  <c r="H7" i="74" s="1"/>
  <c r="Y36" i="43"/>
  <c r="C33" i="74"/>
  <c r="D33" i="74" s="1"/>
  <c r="H33" i="74" s="1"/>
  <c r="C33" i="48"/>
  <c r="AW6" i="18"/>
  <c r="J18" i="64"/>
  <c r="C9" i="48"/>
  <c r="C9" i="74"/>
  <c r="D9" i="74" s="1"/>
  <c r="H9" i="74" s="1"/>
  <c r="C28" i="48"/>
  <c r="C28" i="74"/>
  <c r="D28" i="74" s="1"/>
  <c r="H28" i="74" s="1"/>
  <c r="AY13" i="18"/>
  <c r="D13" i="58"/>
  <c r="O15" i="32"/>
  <c r="M13" i="2"/>
  <c r="H14" i="30"/>
  <c r="C13" i="58"/>
  <c r="D13" i="48"/>
  <c r="C13" i="44"/>
  <c r="G13" i="44" s="1"/>
  <c r="I13" i="31"/>
  <c r="C14" i="65"/>
  <c r="D14" i="65" s="1"/>
  <c r="AZ19" i="18"/>
  <c r="G19" i="33"/>
  <c r="F34" i="33"/>
  <c r="H22" i="64"/>
  <c r="I22" i="64" s="1"/>
  <c r="F22" i="64"/>
  <c r="E22" i="64"/>
  <c r="C32" i="48"/>
  <c r="C32" i="74"/>
  <c r="D32" i="74" s="1"/>
  <c r="H32" i="74" s="1"/>
  <c r="C11" i="48"/>
  <c r="C11" i="74"/>
  <c r="D11" i="74" s="1"/>
  <c r="H11" i="74" s="1"/>
  <c r="J34" i="15"/>
  <c r="G24" i="33"/>
  <c r="I24" i="33" s="1"/>
  <c r="G7" i="30"/>
  <c r="W21" i="8"/>
  <c r="K25" i="15"/>
  <c r="C27" i="74"/>
  <c r="D27" i="74" s="1"/>
  <c r="H27" i="74" s="1"/>
  <c r="C27" i="48"/>
  <c r="C6" i="74"/>
  <c r="D6" i="74" s="1"/>
  <c r="H6" i="74" s="1"/>
  <c r="C6" i="48"/>
  <c r="Z36" i="43"/>
  <c r="D15" i="35"/>
  <c r="E15" i="35"/>
  <c r="C14" i="48"/>
  <c r="C14" i="74"/>
  <c r="D14" i="74" s="1"/>
  <c r="H14" i="74" s="1"/>
  <c r="H34" i="33"/>
  <c r="C12" i="48"/>
  <c r="C12" i="74"/>
  <c r="D12" i="74" s="1"/>
  <c r="H12" i="74" s="1"/>
  <c r="E34" i="31"/>
  <c r="G17" i="74" l="1"/>
  <c r="I22" i="74"/>
  <c r="K30" i="48"/>
  <c r="AW23" i="18"/>
  <c r="E30" i="64"/>
  <c r="H30" i="64"/>
  <c r="I30" i="64" s="1"/>
  <c r="E26" i="64"/>
  <c r="H26" i="64"/>
  <c r="I26" i="64" s="1"/>
  <c r="F239" i="47"/>
  <c r="H31" i="64"/>
  <c r="I31" i="64" s="1"/>
  <c r="F31" i="64"/>
  <c r="W20" i="32"/>
  <c r="Z20" i="32" s="1"/>
  <c r="E20" i="85"/>
  <c r="K31" i="32"/>
  <c r="N31" i="32" s="1"/>
  <c r="M11" i="58"/>
  <c r="AW26" i="18"/>
  <c r="J10" i="31"/>
  <c r="J14" i="31"/>
  <c r="J21" i="31"/>
  <c r="H28" i="58"/>
  <c r="G23" i="58"/>
  <c r="Y13" i="32"/>
  <c r="H23" i="58"/>
  <c r="AW16" i="18"/>
  <c r="G28" i="58"/>
  <c r="J23" i="31"/>
  <c r="J31" i="31"/>
  <c r="J28" i="31"/>
  <c r="J29" i="31"/>
  <c r="H9" i="58"/>
  <c r="J25" i="31"/>
  <c r="M9" i="32"/>
  <c r="W19" i="32"/>
  <c r="Z19" i="32" s="1"/>
  <c r="AA32" i="43"/>
  <c r="AW27" i="18"/>
  <c r="H20" i="64"/>
  <c r="I20" i="64" s="1"/>
  <c r="E20" i="64"/>
  <c r="J24" i="31"/>
  <c r="AA30" i="43"/>
  <c r="W29" i="7"/>
  <c r="K28" i="15"/>
  <c r="F29" i="58"/>
  <c r="J19" i="31"/>
  <c r="M6" i="58"/>
  <c r="S16" i="58"/>
  <c r="E32" i="64"/>
  <c r="E23" i="64"/>
  <c r="F32" i="64"/>
  <c r="J32" i="64" s="1"/>
  <c r="H32" i="64"/>
  <c r="M7" i="58"/>
  <c r="E14" i="64"/>
  <c r="H14" i="64"/>
  <c r="I14" i="64" s="1"/>
  <c r="F14" i="64"/>
  <c r="J9" i="64"/>
  <c r="E21" i="64"/>
  <c r="H28" i="64"/>
  <c r="I28" i="64" s="1"/>
  <c r="S29" i="58"/>
  <c r="J21" i="64"/>
  <c r="J33" i="64"/>
  <c r="J15" i="64"/>
  <c r="H10" i="64"/>
  <c r="I10" i="64" s="1"/>
  <c r="J10" i="64" s="1"/>
  <c r="M24" i="58"/>
  <c r="J12" i="31"/>
  <c r="J7" i="31"/>
  <c r="K7" i="15"/>
  <c r="Y7" i="14"/>
  <c r="W31" i="8"/>
  <c r="AC7" i="5"/>
  <c r="W8" i="8"/>
  <c r="Q16" i="4"/>
  <c r="Q25" i="4"/>
  <c r="W26" i="7"/>
  <c r="Y7" i="6"/>
  <c r="Y28" i="14"/>
  <c r="AC28" i="5"/>
  <c r="Y11" i="32"/>
  <c r="AC25" i="5"/>
  <c r="W32" i="7"/>
  <c r="AZ25" i="18"/>
  <c r="AA33" i="43"/>
  <c r="Q7" i="4"/>
  <c r="AZ28" i="18"/>
  <c r="Y25" i="6"/>
  <c r="J18" i="31"/>
  <c r="AC31" i="5"/>
  <c r="Y25" i="14"/>
  <c r="Q31" i="4"/>
  <c r="W28" i="8"/>
  <c r="Q25" i="20"/>
  <c r="AZ7" i="18"/>
  <c r="Q31" i="20"/>
  <c r="K31" i="15"/>
  <c r="Y28" i="6"/>
  <c r="Q7" i="20"/>
  <c r="W8" i="7"/>
  <c r="J27" i="31"/>
  <c r="F6" i="58"/>
  <c r="K26" i="15"/>
  <c r="Q15" i="4"/>
  <c r="AA17" i="43"/>
  <c r="G29" i="58"/>
  <c r="W16" i="7"/>
  <c r="M12" i="32"/>
  <c r="W17" i="32"/>
  <c r="Z17" i="32" s="1"/>
  <c r="Y17" i="32"/>
  <c r="Y15" i="6"/>
  <c r="F25" i="58"/>
  <c r="H25" i="58"/>
  <c r="J6" i="31"/>
  <c r="H30" i="58"/>
  <c r="F12" i="58"/>
  <c r="G14" i="58"/>
  <c r="Y15" i="14"/>
  <c r="W27" i="7"/>
  <c r="Q26" i="20"/>
  <c r="Y26" i="32"/>
  <c r="W24" i="8"/>
  <c r="Q15" i="20"/>
  <c r="K30" i="32"/>
  <c r="N30" i="32" s="1"/>
  <c r="AZ15" i="18"/>
  <c r="AZ26" i="18"/>
  <c r="F14" i="58"/>
  <c r="Y26" i="14"/>
  <c r="Y26" i="6"/>
  <c r="AW31" i="18"/>
  <c r="Y11" i="14"/>
  <c r="W9" i="32"/>
  <c r="Z9" i="32" s="1"/>
  <c r="J17" i="31"/>
  <c r="Q16" i="20"/>
  <c r="AA13" i="43"/>
  <c r="W12" i="7"/>
  <c r="W17" i="7"/>
  <c r="AZ16" i="18"/>
  <c r="W18" i="32"/>
  <c r="Z18" i="32" s="1"/>
  <c r="Y16" i="14"/>
  <c r="W28" i="32"/>
  <c r="Z28" i="32" s="1"/>
  <c r="K11" i="15"/>
  <c r="G20" i="58"/>
  <c r="K16" i="15"/>
  <c r="AZ11" i="18"/>
  <c r="K17" i="32"/>
  <c r="N17" i="32" s="1"/>
  <c r="W25" i="8"/>
  <c r="AA18" i="43"/>
  <c r="Y11" i="6"/>
  <c r="Q11" i="4"/>
  <c r="Y16" i="6"/>
  <c r="K13" i="32"/>
  <c r="N13" i="32" s="1"/>
  <c r="H20" i="58"/>
  <c r="Q11" i="20"/>
  <c r="AZ20" i="18"/>
  <c r="J23" i="64"/>
  <c r="F236" i="47"/>
  <c r="H24" i="64"/>
  <c r="I24" i="64" s="1"/>
  <c r="F24" i="64"/>
  <c r="E24" i="64"/>
  <c r="E28" i="64"/>
  <c r="E13" i="64"/>
  <c r="H13" i="64"/>
  <c r="I13" i="64" s="1"/>
  <c r="F13" i="64"/>
  <c r="E16" i="64"/>
  <c r="F16" i="64" s="1"/>
  <c r="H16" i="64"/>
  <c r="I16" i="64" s="1"/>
  <c r="J27" i="64"/>
  <c r="J30" i="64"/>
  <c r="S15" i="58"/>
  <c r="J20" i="64"/>
  <c r="J28" i="64"/>
  <c r="B5" i="66"/>
  <c r="C238" i="47"/>
  <c r="J22" i="64"/>
  <c r="F12" i="64"/>
  <c r="E12" i="64"/>
  <c r="I12" i="64"/>
  <c r="H12" i="64"/>
  <c r="F7" i="64"/>
  <c r="E7" i="64"/>
  <c r="I7" i="64"/>
  <c r="H7" i="64"/>
  <c r="J8" i="64"/>
  <c r="I6" i="64"/>
  <c r="F6" i="64"/>
  <c r="H6" i="64"/>
  <c r="E6" i="64"/>
  <c r="S24" i="58"/>
  <c r="G30" i="29"/>
  <c r="H30" i="29" s="1"/>
  <c r="I30" i="29" s="1"/>
  <c r="F232" i="47" s="1"/>
  <c r="Y16" i="32"/>
  <c r="F7" i="58"/>
  <c r="AW21" i="18"/>
  <c r="G7" i="58"/>
  <c r="AW11" i="18"/>
  <c r="AW28" i="18"/>
  <c r="J32" i="31"/>
  <c r="AA11" i="43"/>
  <c r="Q30" i="20"/>
  <c r="H26" i="58"/>
  <c r="Y9" i="14"/>
  <c r="W10" i="8"/>
  <c r="Y30" i="14"/>
  <c r="K26" i="32"/>
  <c r="N26" i="32" s="1"/>
  <c r="W25" i="7"/>
  <c r="Q26" i="4"/>
  <c r="AC26" i="5"/>
  <c r="AC9" i="5"/>
  <c r="K9" i="15"/>
  <c r="W30" i="8"/>
  <c r="AA26" i="43"/>
  <c r="AZ9" i="18"/>
  <c r="K30" i="15"/>
  <c r="W20" i="8"/>
  <c r="W10" i="7"/>
  <c r="AC30" i="5"/>
  <c r="Y24" i="6"/>
  <c r="J30" i="48"/>
  <c r="Q9" i="20"/>
  <c r="AZ30" i="18"/>
  <c r="W31" i="7"/>
  <c r="H34" i="31"/>
  <c r="Y30" i="6"/>
  <c r="AC11" i="5"/>
  <c r="K20" i="15"/>
  <c r="Y20" i="6"/>
  <c r="Q20" i="4"/>
  <c r="AC20" i="5"/>
  <c r="Y20" i="14"/>
  <c r="Q20" i="20"/>
  <c r="AA22" i="43"/>
  <c r="W14" i="8"/>
  <c r="G30" i="58"/>
  <c r="G24" i="58"/>
  <c r="F9" i="58"/>
  <c r="AZ27" i="18"/>
  <c r="AC24" i="5"/>
  <c r="Q24" i="20"/>
  <c r="AZ24" i="18"/>
  <c r="Q24" i="4"/>
  <c r="Y24" i="14"/>
  <c r="F24" i="58"/>
  <c r="G16" i="58"/>
  <c r="F26" i="58"/>
  <c r="F16" i="58"/>
  <c r="AW30" i="18"/>
  <c r="W30" i="32"/>
  <c r="Z30" i="32" s="1"/>
  <c r="Y27" i="6"/>
  <c r="AA19" i="43"/>
  <c r="F31" i="58"/>
  <c r="K27" i="15"/>
  <c r="W18" i="7"/>
  <c r="G31" i="58"/>
  <c r="AC27" i="5"/>
  <c r="H15" i="58"/>
  <c r="Y24" i="32"/>
  <c r="W24" i="32"/>
  <c r="Z24" i="32" s="1"/>
  <c r="F15" i="58"/>
  <c r="Y21" i="32"/>
  <c r="W21" i="32"/>
  <c r="Z21" i="32" s="1"/>
  <c r="H11" i="58"/>
  <c r="F11" i="58"/>
  <c r="G17" i="58"/>
  <c r="F17" i="58"/>
  <c r="H17" i="58"/>
  <c r="G12" i="58"/>
  <c r="E24" i="63"/>
  <c r="E30" i="63" s="1"/>
  <c r="Q17" i="4"/>
  <c r="AC17" i="5"/>
  <c r="Q17" i="20"/>
  <c r="Y17" i="6"/>
  <c r="K17" i="15"/>
  <c r="Y17" i="14"/>
  <c r="AZ17" i="18"/>
  <c r="H27" i="58"/>
  <c r="G27" i="58"/>
  <c r="W13" i="8"/>
  <c r="Y27" i="14"/>
  <c r="K11" i="32"/>
  <c r="N11" i="32" s="1"/>
  <c r="M11" i="32"/>
  <c r="Q19" i="4"/>
  <c r="W27" i="8"/>
  <c r="K23" i="32"/>
  <c r="N23" i="32" s="1"/>
  <c r="M23" i="32"/>
  <c r="K19" i="15"/>
  <c r="AC19" i="5"/>
  <c r="Q27" i="4"/>
  <c r="W20" i="7"/>
  <c r="Q19" i="20"/>
  <c r="W28" i="7"/>
  <c r="AA29" i="43"/>
  <c r="AC12" i="5"/>
  <c r="AZ12" i="18"/>
  <c r="W13" i="7"/>
  <c r="Y12" i="14"/>
  <c r="K12" i="15"/>
  <c r="Y12" i="6"/>
  <c r="Q12" i="4"/>
  <c r="W16" i="8"/>
  <c r="AA14" i="43"/>
  <c r="Q12" i="20"/>
  <c r="C225" i="47"/>
  <c r="Q14" i="4"/>
  <c r="AA16" i="43"/>
  <c r="Y14" i="14"/>
  <c r="AZ14" i="18"/>
  <c r="K14" i="15"/>
  <c r="Q14" i="20"/>
  <c r="J21" i="48"/>
  <c r="W23" i="8"/>
  <c r="C35" i="30"/>
  <c r="G35" i="30" s="1"/>
  <c r="Y14" i="6"/>
  <c r="K18" i="48"/>
  <c r="W15" i="7"/>
  <c r="M15" i="58"/>
  <c r="F242" i="47"/>
  <c r="G30" i="74"/>
  <c r="J18" i="48"/>
  <c r="K21" i="48"/>
  <c r="G25" i="74"/>
  <c r="I25" i="74"/>
  <c r="E22" i="85"/>
  <c r="E21" i="85"/>
  <c r="E11" i="85"/>
  <c r="E10" i="85"/>
  <c r="E9" i="85"/>
  <c r="C7" i="65"/>
  <c r="D7" i="65" s="1"/>
  <c r="C5" i="65"/>
  <c r="D5" i="65" s="1"/>
  <c r="M21" i="32"/>
  <c r="C6" i="65"/>
  <c r="D6" i="65" s="1"/>
  <c r="G19" i="58"/>
  <c r="F19" i="58"/>
  <c r="Y19" i="14"/>
  <c r="AA21" i="43"/>
  <c r="C36" i="32"/>
  <c r="K36" i="32" s="1"/>
  <c r="N36" i="32" s="1"/>
  <c r="H18" i="58"/>
  <c r="F18" i="58"/>
  <c r="G18" i="58"/>
  <c r="G21" i="58"/>
  <c r="F21" i="58"/>
  <c r="H21" i="58"/>
  <c r="H22" i="58"/>
  <c r="G22" i="58"/>
  <c r="F22" i="58"/>
  <c r="K20" i="32"/>
  <c r="N20" i="32" s="1"/>
  <c r="M20" i="32"/>
  <c r="AW33" i="18"/>
  <c r="H8" i="58"/>
  <c r="G8" i="58"/>
  <c r="F8" i="58"/>
  <c r="Y27" i="32"/>
  <c r="W27" i="32"/>
  <c r="Z27" i="32" s="1"/>
  <c r="Y23" i="32"/>
  <c r="W23" i="32"/>
  <c r="Z23" i="32" s="1"/>
  <c r="M34" i="32"/>
  <c r="K34" i="32"/>
  <c r="N34" i="32" s="1"/>
  <c r="G33" i="58"/>
  <c r="H33" i="58"/>
  <c r="F33" i="58"/>
  <c r="Q18" i="20"/>
  <c r="AC18" i="5"/>
  <c r="W19" i="7"/>
  <c r="Y18" i="6"/>
  <c r="W32" i="8"/>
  <c r="Y18" i="14"/>
  <c r="AA20" i="43"/>
  <c r="Q18" i="4"/>
  <c r="K18" i="15"/>
  <c r="AZ18" i="18"/>
  <c r="H10" i="58"/>
  <c r="G10" i="58"/>
  <c r="F10" i="58"/>
  <c r="K25" i="48"/>
  <c r="J25" i="48"/>
  <c r="W15" i="8"/>
  <c r="AZ21" i="18"/>
  <c r="K21" i="15"/>
  <c r="W22" i="7"/>
  <c r="Q21" i="4"/>
  <c r="Q21" i="20"/>
  <c r="AA23" i="43"/>
  <c r="Y21" i="14"/>
  <c r="Y21" i="6"/>
  <c r="AC21" i="5"/>
  <c r="K24" i="32"/>
  <c r="N24" i="32" s="1"/>
  <c r="M24" i="32"/>
  <c r="H32" i="58"/>
  <c r="F32" i="58"/>
  <c r="G32" i="58"/>
  <c r="W35" i="32"/>
  <c r="Z35" i="32" s="1"/>
  <c r="Y35" i="32"/>
  <c r="W32" i="32"/>
  <c r="Z32" i="32" s="1"/>
  <c r="Y32" i="32"/>
  <c r="M10" i="32"/>
  <c r="K10" i="32"/>
  <c r="N10" i="32" s="1"/>
  <c r="Y10" i="14"/>
  <c r="Q10" i="20"/>
  <c r="AC10" i="5"/>
  <c r="AZ10" i="18"/>
  <c r="K10" i="15"/>
  <c r="Y10" i="6"/>
  <c r="Q10" i="4"/>
  <c r="AA12" i="43"/>
  <c r="W11" i="8"/>
  <c r="W11" i="7"/>
  <c r="K15" i="32"/>
  <c r="N15" i="32" s="1"/>
  <c r="M15" i="32"/>
  <c r="M35" i="32"/>
  <c r="K35" i="32"/>
  <c r="N35" i="32" s="1"/>
  <c r="W9" i="7"/>
  <c r="Y8" i="14"/>
  <c r="AA10" i="43"/>
  <c r="K8" i="15"/>
  <c r="Y8" i="6"/>
  <c r="AC8" i="5"/>
  <c r="W9" i="8"/>
  <c r="Q8" i="4"/>
  <c r="AZ8" i="18"/>
  <c r="Q8" i="20"/>
  <c r="Q22" i="4"/>
  <c r="K22" i="15"/>
  <c r="AC22" i="5"/>
  <c r="Y22" i="14"/>
  <c r="AZ22" i="18"/>
  <c r="Y22" i="6"/>
  <c r="AA24" i="43"/>
  <c r="Q22" i="20"/>
  <c r="W23" i="7"/>
  <c r="W18" i="8"/>
  <c r="K32" i="15"/>
  <c r="Y32" i="14"/>
  <c r="Q32" i="20"/>
  <c r="AA34" i="43"/>
  <c r="W33" i="7"/>
  <c r="AZ32" i="18"/>
  <c r="AC32" i="5"/>
  <c r="Q32" i="4"/>
  <c r="W33" i="8"/>
  <c r="Y32" i="6"/>
  <c r="Y33" i="14"/>
  <c r="Q33" i="4"/>
  <c r="K33" i="15"/>
  <c r="AC33" i="5"/>
  <c r="W34" i="8"/>
  <c r="Q33" i="20"/>
  <c r="AA35" i="43"/>
  <c r="W34" i="7"/>
  <c r="Y33" i="6"/>
  <c r="AZ33" i="18"/>
  <c r="Y12" i="32"/>
  <c r="W12" i="32"/>
  <c r="Z12" i="32" s="1"/>
  <c r="AX34" i="18"/>
  <c r="F235" i="47"/>
  <c r="J8" i="48"/>
  <c r="K8" i="48"/>
  <c r="G21" i="74"/>
  <c r="I21" i="74"/>
  <c r="K20" i="48"/>
  <c r="J20" i="48"/>
  <c r="G8" i="74"/>
  <c r="I8" i="74"/>
  <c r="I23" i="74"/>
  <c r="G23" i="74"/>
  <c r="G20" i="74"/>
  <c r="I20" i="74"/>
  <c r="J23" i="48"/>
  <c r="K23" i="48"/>
  <c r="J16" i="48"/>
  <c r="K16" i="48"/>
  <c r="J22" i="48"/>
  <c r="K22" i="48"/>
  <c r="J19" i="48"/>
  <c r="K19" i="48"/>
  <c r="I24" i="74"/>
  <c r="G24" i="74"/>
  <c r="G16" i="74"/>
  <c r="I16" i="74"/>
  <c r="J17" i="48"/>
  <c r="K17" i="48"/>
  <c r="G19" i="74"/>
  <c r="I19" i="74"/>
  <c r="K24" i="48"/>
  <c r="J24" i="48"/>
  <c r="J15" i="48"/>
  <c r="K15" i="48"/>
  <c r="G26" i="74"/>
  <c r="I26" i="74"/>
  <c r="G31" i="74"/>
  <c r="I31" i="74"/>
  <c r="G15" i="74"/>
  <c r="I15" i="74"/>
  <c r="J26" i="48"/>
  <c r="K26" i="48"/>
  <c r="K31" i="48"/>
  <c r="J31" i="48"/>
  <c r="J12" i="48"/>
  <c r="K12" i="48"/>
  <c r="J6" i="48"/>
  <c r="K6" i="48"/>
  <c r="AW13" i="18"/>
  <c r="AY34" i="18"/>
  <c r="G6" i="74"/>
  <c r="I6" i="74"/>
  <c r="J27" i="48"/>
  <c r="K27" i="48"/>
  <c r="I28" i="74"/>
  <c r="G28" i="74"/>
  <c r="G33" i="74"/>
  <c r="I33" i="74"/>
  <c r="I34" i="31"/>
  <c r="J13" i="31"/>
  <c r="J26" i="64"/>
  <c r="I27" i="74"/>
  <c r="G27" i="74"/>
  <c r="B4" i="46"/>
  <c r="B4" i="66"/>
  <c r="C237" i="47"/>
  <c r="K28" i="48"/>
  <c r="J28" i="48"/>
  <c r="C236" i="47"/>
  <c r="F241" i="47"/>
  <c r="I10" i="74"/>
  <c r="G10" i="74"/>
  <c r="G9" i="74"/>
  <c r="I9" i="74"/>
  <c r="G7" i="74"/>
  <c r="I7" i="74"/>
  <c r="J29" i="48"/>
  <c r="K29" i="48"/>
  <c r="K33" i="48"/>
  <c r="J33" i="48"/>
  <c r="I14" i="74"/>
  <c r="G14" i="74"/>
  <c r="I11" i="74"/>
  <c r="G11" i="74"/>
  <c r="K14" i="48"/>
  <c r="J14" i="48"/>
  <c r="J11" i="48"/>
  <c r="K11" i="48"/>
  <c r="L14" i="30"/>
  <c r="H35" i="30"/>
  <c r="L35" i="30" s="1"/>
  <c r="J9" i="48"/>
  <c r="K9" i="48"/>
  <c r="K7" i="48"/>
  <c r="J7" i="48"/>
  <c r="I29" i="74"/>
  <c r="G29" i="74"/>
  <c r="G32" i="74"/>
  <c r="I32" i="74"/>
  <c r="G13" i="74"/>
  <c r="I13" i="74"/>
  <c r="Q13" i="4"/>
  <c r="W17" i="8"/>
  <c r="AC13" i="5"/>
  <c r="AZ13" i="18"/>
  <c r="K13" i="15"/>
  <c r="Q13" i="20"/>
  <c r="Y13" i="14"/>
  <c r="Y13" i="6"/>
  <c r="AA15" i="43"/>
  <c r="W14" i="7"/>
  <c r="K32" i="48"/>
  <c r="J32" i="48"/>
  <c r="Y15" i="32"/>
  <c r="W15" i="32"/>
  <c r="Z15" i="32" s="1"/>
  <c r="O36" i="32"/>
  <c r="J13" i="48"/>
  <c r="K13" i="48"/>
  <c r="I19" i="33"/>
  <c r="F226" i="47" s="1"/>
  <c r="G34" i="33"/>
  <c r="I34" i="33" s="1"/>
  <c r="I12" i="74"/>
  <c r="G12" i="74"/>
  <c r="G13" i="58"/>
  <c r="H13" i="58"/>
  <c r="F13" i="58"/>
  <c r="J10" i="48"/>
  <c r="K10" i="48"/>
  <c r="L30" i="48" l="1"/>
  <c r="I30" i="48"/>
  <c r="L16" i="48"/>
  <c r="L18" i="48"/>
  <c r="J31" i="64"/>
  <c r="J14" i="64"/>
  <c r="J24" i="64"/>
  <c r="J6" i="64"/>
  <c r="F223" i="47"/>
  <c r="J7" i="64"/>
  <c r="J13" i="64"/>
  <c r="B28" i="66"/>
  <c r="B31" i="66" s="1"/>
  <c r="A2" i="66" s="1"/>
  <c r="J16" i="64"/>
  <c r="J12" i="64"/>
  <c r="J34" i="31"/>
  <c r="L21" i="48"/>
  <c r="F224" i="47"/>
  <c r="I18" i="48"/>
  <c r="L23" i="48"/>
  <c r="L12" i="48"/>
  <c r="L6" i="48"/>
  <c r="I21" i="48"/>
  <c r="L19" i="48"/>
  <c r="L31" i="48"/>
  <c r="I17" i="48"/>
  <c r="L22" i="48"/>
  <c r="L8" i="48"/>
  <c r="I25" i="48"/>
  <c r="E5" i="85"/>
  <c r="F233" i="47" s="1"/>
  <c r="M36" i="32"/>
  <c r="L25" i="48"/>
  <c r="AW34" i="18"/>
  <c r="I20" i="48"/>
  <c r="I32" i="48"/>
  <c r="L11" i="48"/>
  <c r="I33" i="48"/>
  <c r="I23" i="48"/>
  <c r="L26" i="48"/>
  <c r="L15" i="48"/>
  <c r="I8" i="48"/>
  <c r="L20" i="48"/>
  <c r="I24" i="48"/>
  <c r="I15" i="48"/>
  <c r="I16" i="48"/>
  <c r="L24" i="48"/>
  <c r="I22" i="48"/>
  <c r="I26" i="48"/>
  <c r="I31" i="48"/>
  <c r="L17" i="48"/>
  <c r="I19" i="48"/>
  <c r="L10" i="48"/>
  <c r="L33" i="48"/>
  <c r="L13" i="48"/>
  <c r="L7" i="48"/>
  <c r="L14" i="48"/>
  <c r="I29" i="48"/>
  <c r="I9" i="48"/>
  <c r="L28" i="48"/>
  <c r="I27" i="48"/>
  <c r="I12" i="48"/>
  <c r="I13" i="48"/>
  <c r="L9" i="48"/>
  <c r="D13" i="46"/>
  <c r="D21" i="46"/>
  <c r="D11" i="46"/>
  <c r="E13" i="46"/>
  <c r="E23" i="46"/>
  <c r="F23" i="46" s="1"/>
  <c r="E6" i="46"/>
  <c r="D16" i="46"/>
  <c r="D14" i="46"/>
  <c r="D23" i="46"/>
  <c r="D20" i="46"/>
  <c r="D9" i="46"/>
  <c r="D30" i="46"/>
  <c r="D7" i="46"/>
  <c r="D19" i="46"/>
  <c r="E25" i="46"/>
  <c r="D29" i="46"/>
  <c r="D27" i="46"/>
  <c r="E21" i="46"/>
  <c r="F21" i="46" s="1"/>
  <c r="D28" i="46"/>
  <c r="D17" i="46"/>
  <c r="D26" i="46"/>
  <c r="E17" i="46"/>
  <c r="D10" i="46"/>
  <c r="D6" i="46"/>
  <c r="D18" i="46"/>
  <c r="D8" i="46"/>
  <c r="D24" i="46"/>
  <c r="D15" i="46"/>
  <c r="D12" i="46"/>
  <c r="D25" i="46"/>
  <c r="E22" i="46"/>
  <c r="D22" i="46"/>
  <c r="W36" i="32"/>
  <c r="Z36" i="32" s="1"/>
  <c r="Y36" i="32"/>
  <c r="L27" i="48"/>
  <c r="I6" i="48"/>
  <c r="I28" i="48"/>
  <c r="L32" i="48"/>
  <c r="I11" i="48"/>
  <c r="I10" i="48"/>
  <c r="I7" i="48"/>
  <c r="I14" i="48"/>
  <c r="L29" i="48"/>
  <c r="F244" i="47"/>
  <c r="F238" i="47" l="1"/>
  <c r="F225" i="47"/>
  <c r="F234" i="47"/>
  <c r="F237" i="4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<sst xmlns="http://schemas.openxmlformats.org/spreadsheetml/2006/main" count="2467" uniqueCount="1119">
  <si>
    <t>Personale soggetto a turnazione (**) Personale indicato in T1</t>
  </si>
  <si>
    <t>Personale soggetto a reperibilità (**) Personale indicato in T1</t>
  </si>
  <si>
    <t>L’ente ha attive al 31/12 convenzioni con altri enti ai sensi dell’art. 30 del T.U.E.L. , o di analoghe disposizioni delle Regioni e Province Autonome?</t>
  </si>
  <si>
    <t>CONTRATTI PER RESA SERVIZI/ADEMPIMENTI OBBLIGATORI PER LEGGE</t>
  </si>
  <si>
    <t>L115</t>
  </si>
  <si>
    <t>j=(a+b+c+d-e-f-g-h-i)</t>
  </si>
  <si>
    <t>k</t>
  </si>
  <si>
    <t>j=k</t>
  </si>
  <si>
    <t>u=(l+m+n+o-p-q-r-s-t)</t>
  </si>
  <si>
    <t>v</t>
  </si>
  <si>
    <t>u=v</t>
  </si>
  <si>
    <t>RETRIBUZIONE DI POSIZIONE</t>
  </si>
  <si>
    <t>RETRIBUZIONE DI RISULTATO</t>
  </si>
  <si>
    <t>unità per il calcolo delle assenze (*)</t>
  </si>
  <si>
    <t>Presenti per titolo di studio 
(Tab 9)</t>
  </si>
  <si>
    <t>*25</t>
  </si>
  <si>
    <t>Numero dirigenti appartenenti alla polizia locale</t>
  </si>
  <si>
    <t>*26</t>
  </si>
  <si>
    <t>Numero appartenenti alla polizia locale di categoria C</t>
  </si>
  <si>
    <t>*27</t>
  </si>
  <si>
    <t>Numero appartenenti alla polizia locale di categoria D</t>
  </si>
  <si>
    <t>T1</t>
  </si>
  <si>
    <t>SQ 1</t>
  </si>
  <si>
    <t>T2</t>
  </si>
  <si>
    <t>SQ 2</t>
  </si>
  <si>
    <t>T3</t>
  </si>
  <si>
    <t>SQ 3</t>
  </si>
  <si>
    <t>T4</t>
  </si>
  <si>
    <t>SQ 4</t>
  </si>
  <si>
    <t>T5</t>
  </si>
  <si>
    <t>T6</t>
  </si>
  <si>
    <t>T7</t>
  </si>
  <si>
    <t>IN 1</t>
  </si>
  <si>
    <t>T8</t>
  </si>
  <si>
    <t>IN 2</t>
  </si>
  <si>
    <t>T9</t>
  </si>
  <si>
    <t>IN 4</t>
  </si>
  <si>
    <t>T10</t>
  </si>
  <si>
    <t>IN 5</t>
  </si>
  <si>
    <t>T11</t>
  </si>
  <si>
    <t>IN 6</t>
  </si>
  <si>
    <t>T12</t>
  </si>
  <si>
    <t>IN 7</t>
  </si>
  <si>
    <t>T13</t>
  </si>
  <si>
    <t>T14</t>
  </si>
  <si>
    <t>T15</t>
  </si>
  <si>
    <t>Totale della Tabella T11</t>
  </si>
  <si>
    <t>Totale della Tabella T1</t>
  </si>
  <si>
    <t>Totale della Tabella T3 (personale esterno)</t>
  </si>
  <si>
    <t>Totale Usciti della Tabella T4</t>
  </si>
  <si>
    <t>Totale Entrati della Tabella T4</t>
  </si>
  <si>
    <t>Totale della Tabella T5</t>
  </si>
  <si>
    <t>Incongruenza 7</t>
  </si>
  <si>
    <t>Incongruenza           [se a&gt;0 e (b=0 e c=0 e d=0 e e=0 e f=0)]</t>
  </si>
  <si>
    <t>Incongruenza         [se a=0 e (b&gt;0 o c&gt;0 o d&gt;0 o e&gt;0 o f&gt;0)]</t>
  </si>
  <si>
    <t>Contratti di somministrazione (ex interinale)</t>
  </si>
  <si>
    <t>Contratti di somministrazione
(ex Interinale) (*)</t>
  </si>
  <si>
    <t>INDIRIZZO PAGINA WEB DELL'ENTE</t>
  </si>
  <si>
    <t>CONVENZIONI</t>
  </si>
  <si>
    <t>Passaggi ad altra Amministrazione dello stesso comparto (*)</t>
  </si>
  <si>
    <t>Passaggi ad altra Amministrazione di altro comparto (*)</t>
  </si>
  <si>
    <t>LAUREA BREVE</t>
  </si>
  <si>
    <t>SPECIALIZZAZIONE
POST LAUREA/ DOTTORATO DI RICERCA</t>
  </si>
  <si>
    <t>ALTRI TITOLI
POST LAUREA</t>
  </si>
  <si>
    <t>FORMAZIONE</t>
  </si>
  <si>
    <t>VALORE</t>
  </si>
  <si>
    <t>VALORE %</t>
  </si>
  <si>
    <t>N U M E R O      D I     D I P E N D E N T I</t>
  </si>
  <si>
    <t>Cod.</t>
  </si>
  <si>
    <t>Uomini</t>
  </si>
  <si>
    <t>Donne</t>
  </si>
  <si>
    <t>TOTALE</t>
  </si>
  <si>
    <t>A tempo pieno</t>
  </si>
  <si>
    <t>FERIE</t>
  </si>
  <si>
    <t>N. gg</t>
  </si>
  <si>
    <t>FINO ALLA SCUOLA DELL'OBBLIGO</t>
  </si>
  <si>
    <t>LIC. MEDIA SUPERIORE</t>
  </si>
  <si>
    <t>LAUREA</t>
  </si>
  <si>
    <t>tra 25 e 29 anni</t>
  </si>
  <si>
    <t xml:space="preserve"> tra 30 e 34 anni</t>
  </si>
  <si>
    <t>tra 35 e 39 anni</t>
  </si>
  <si>
    <t>tra 40 e 44 anni</t>
  </si>
  <si>
    <t>tra 45 e 49 anni</t>
  </si>
  <si>
    <t>tra 50 e 54 anni</t>
  </si>
  <si>
    <t>tra 55 e 59 anni</t>
  </si>
  <si>
    <t>tra 60 e 64 anni</t>
  </si>
  <si>
    <t>U</t>
  </si>
  <si>
    <t>D</t>
  </si>
  <si>
    <t>tra 0 e 5 anni</t>
  </si>
  <si>
    <t>tra 6 e 10 anni</t>
  </si>
  <si>
    <t xml:space="preserve"> tra 11 e 15 anni</t>
  </si>
  <si>
    <t>tra 16 e 20 anni</t>
  </si>
  <si>
    <t>tra 21 e 25 anni</t>
  </si>
  <si>
    <t>tra 26 e 30 anni</t>
  </si>
  <si>
    <t>tra 31 e 35 anni</t>
  </si>
  <si>
    <t>tra 36 e 40 anni</t>
  </si>
  <si>
    <t>Altre cause</t>
  </si>
  <si>
    <t>FUORI RUOLO</t>
  </si>
  <si>
    <t>(*) Escluso il personale comandato e quello fuori ruolo</t>
  </si>
  <si>
    <t>Codice</t>
  </si>
  <si>
    <t>CATEGORIA</t>
  </si>
  <si>
    <t>Importo</t>
  </si>
  <si>
    <t>IRAP</t>
  </si>
  <si>
    <t>ALTRE SPESE</t>
  </si>
  <si>
    <t xml:space="preserve">Voci di spesa </t>
  </si>
  <si>
    <t xml:space="preserve"> </t>
  </si>
  <si>
    <t>RECUPERI DERIVANTI DA ASSENZE, RITARDI, ECC.</t>
  </si>
  <si>
    <t>cod.</t>
  </si>
  <si>
    <t>VALLE D'AOSTA</t>
  </si>
  <si>
    <t>PIEMONTE</t>
  </si>
  <si>
    <t>LOMBARDIA</t>
  </si>
  <si>
    <t>VENETO</t>
  </si>
  <si>
    <t>LIGURIA</t>
  </si>
  <si>
    <t>EMILIA ROMAGNA</t>
  </si>
  <si>
    <t>TOSCANA</t>
  </si>
  <si>
    <t>UMBRIA</t>
  </si>
  <si>
    <t>MARCHE</t>
  </si>
  <si>
    <t>LAZIO</t>
  </si>
  <si>
    <t>MOLISE</t>
  </si>
  <si>
    <t>CAMPANIA</t>
  </si>
  <si>
    <t>PUGLIA</t>
  </si>
  <si>
    <t>BASILICATA</t>
  </si>
  <si>
    <t>CALABRIA</t>
  </si>
  <si>
    <t>SICILIA</t>
  </si>
  <si>
    <t>SARDEGNA</t>
  </si>
  <si>
    <t>DESCRIZIONE</t>
  </si>
  <si>
    <t>CODICE</t>
  </si>
  <si>
    <t>In part-time
fino al 50%</t>
  </si>
  <si>
    <t>In part-time
oltre il 50%</t>
  </si>
  <si>
    <t>A tempo determinato (*)</t>
  </si>
  <si>
    <t>Formazione lavoro (*)</t>
  </si>
  <si>
    <t>(*) dati su base annua</t>
  </si>
  <si>
    <t>(**) presenti al 31 dicembre anno corrente</t>
  </si>
  <si>
    <t xml:space="preserve">TOTALE
USCITI
</t>
  </si>
  <si>
    <t>qualifica/posizione economica/profilo</t>
  </si>
  <si>
    <t>qualifica / posiz.economica/profilo</t>
  </si>
  <si>
    <t>PERSONALE DELL'AMMINISTRAZIONE (* )</t>
  </si>
  <si>
    <t>PERSONALE ESTERNO ( ** )</t>
  </si>
  <si>
    <t>(**) Personale comandato e fuori ruolo da altre Amministrazioni</t>
  </si>
  <si>
    <t>qualifica/posiz. economica/profilo</t>
  </si>
  <si>
    <t>qualifica/posiz.economica/profilo</t>
  </si>
  <si>
    <t>STIPENDIO</t>
  </si>
  <si>
    <t>EROGAZIONE BUONI PASTO</t>
  </si>
  <si>
    <t>INDENNITA' DI MISSIONE E TRASFERIMENTO</t>
  </si>
  <si>
    <t>EQUO INDENNIZZO AL PERSONALE</t>
  </si>
  <si>
    <t>BENESSERE DEL PERSONALE</t>
  </si>
  <si>
    <t>FORMAZIONE DEL PERSONALE</t>
  </si>
  <si>
    <t>Qualifica/Posiz.economica/Profilo</t>
  </si>
  <si>
    <t>ASSEGNI PER IL NUCLEO FAMILIARE</t>
  </si>
  <si>
    <t xml:space="preserve">(**) dato pari alla somma del personale a tempo pieno + in part-time fino al 50% + in part-time oltre il 50% </t>
  </si>
  <si>
    <t xml:space="preserve">(*) Escluso il personale comandato e quello fuori ruolo </t>
  </si>
  <si>
    <t xml:space="preserve">TOTALE </t>
  </si>
  <si>
    <t>L005</t>
  </si>
  <si>
    <t>P015</t>
  </si>
  <si>
    <t>P016</t>
  </si>
  <si>
    <t>P062</t>
  </si>
  <si>
    <t>L105</t>
  </si>
  <si>
    <t>P065</t>
  </si>
  <si>
    <t>P071</t>
  </si>
  <si>
    <t>P055</t>
  </si>
  <si>
    <t>P058</t>
  </si>
  <si>
    <t>P061</t>
  </si>
  <si>
    <t>P090</t>
  </si>
  <si>
    <t>P030</t>
  </si>
  <si>
    <t>L010</t>
  </si>
  <si>
    <t>L011</t>
  </si>
  <si>
    <t>L020</t>
  </si>
  <si>
    <t>L090</t>
  </si>
  <si>
    <t>L100</t>
  </si>
  <si>
    <t>COPERTURE ASSICURATIVE</t>
  </si>
  <si>
    <t>L107</t>
  </si>
  <si>
    <t>L110</t>
  </si>
  <si>
    <t>TOTALE ENTRATI</t>
  </si>
  <si>
    <t>fino a 19 anni</t>
  </si>
  <si>
    <t>tra 20 e 24 anni</t>
  </si>
  <si>
    <t>ENTRATI in: qualifica/posizione economica/profilo</t>
  </si>
  <si>
    <t>(a) personale a tempo indeterminato al quale viene applicato un contratto di lavoro di tipo privatistico (es.:tipografico,chimico,edile,metalmeccanico,portierato, ecc.)</t>
  </si>
  <si>
    <t>ARRETRATI  ANNI PRECEDENTI</t>
  </si>
  <si>
    <t>NUMERO DI MENSILITA' (**)</t>
  </si>
  <si>
    <t>(*) gli importi vanno indicati in EURO, senza cifre decimali (cfr. circolare: "istruzioni generali e specifiche di comparto")</t>
  </si>
  <si>
    <t>(**) il numero delle mensilità va espresso con 2 cifre decimali (cfr. circolare: "istruzioni generali e specifiche di comparto ")</t>
  </si>
  <si>
    <t xml:space="preserve">COMANDATI / DISTACCATI </t>
  </si>
  <si>
    <t>ALTRE ASSENZE NON RETRIBUITE</t>
  </si>
  <si>
    <t>Coerenza</t>
  </si>
  <si>
    <t>Tot Cessati (Tab 5)</t>
  </si>
  <si>
    <t>Tot Entrati (Tab 4)</t>
  </si>
  <si>
    <t>Tot Usciti (Tab 4)</t>
  </si>
  <si>
    <t>A tempo determinato</t>
  </si>
  <si>
    <t>Formazione lavoro</t>
  </si>
  <si>
    <t>L.S.U</t>
  </si>
  <si>
    <t>Scostamento in valore assoluto</t>
  </si>
  <si>
    <t>Codici qualifiche</t>
  </si>
  <si>
    <t>Qualifiche</t>
  </si>
  <si>
    <t>a</t>
  </si>
  <si>
    <t>b</t>
  </si>
  <si>
    <t>c</t>
  </si>
  <si>
    <t>d</t>
  </si>
  <si>
    <t>e</t>
  </si>
  <si>
    <t>f=(a-b+c-d+e)</t>
  </si>
  <si>
    <t>g</t>
  </si>
  <si>
    <t>f=g</t>
  </si>
  <si>
    <t xml:space="preserve">Coerenza </t>
  </si>
  <si>
    <t>Presenti per classi di anzianità di servizio (Tab 7)</t>
  </si>
  <si>
    <t>Presenti per classi di età (Tab 8)</t>
  </si>
  <si>
    <t>Fuori ruolo esterni (IN) (Tab 3)</t>
  </si>
  <si>
    <t>Comandati esterni (IN)  (Tab 3)</t>
  </si>
  <si>
    <t>Fuori ruolo interni (OUT) (Tab 3)</t>
  </si>
  <si>
    <t>h</t>
  </si>
  <si>
    <t>i</t>
  </si>
  <si>
    <t>l</t>
  </si>
  <si>
    <t>m</t>
  </si>
  <si>
    <t>n</t>
  </si>
  <si>
    <t>p</t>
  </si>
  <si>
    <t>Cessati (Tab 5)</t>
  </si>
  <si>
    <t xml:space="preserve"> Assunti (Tab 6)</t>
  </si>
  <si>
    <t>Entrati (Tab 4)</t>
  </si>
  <si>
    <t>Usciti (Tab 4)</t>
  </si>
  <si>
    <t>f</t>
  </si>
  <si>
    <t>f&lt;=e</t>
  </si>
  <si>
    <t>a=b=c=d</t>
  </si>
  <si>
    <t>(e=f=g=h)</t>
  </si>
  <si>
    <t>Comandati interni (OUT) (Tab 3)</t>
  </si>
  <si>
    <t>(*) Solo per le tipologie tenute all'invio della TABELLA 10</t>
  </si>
  <si>
    <t>Totale personale distribuito per Regioni  (calcolato)</t>
  </si>
  <si>
    <t>Totale personale distribuito per Regioni (Tab 10)</t>
  </si>
  <si>
    <t>e=(a-b+c+d)</t>
  </si>
  <si>
    <t xml:space="preserve">Consistenza nella qualifica </t>
  </si>
  <si>
    <t>Spesa (Tab 14)</t>
  </si>
  <si>
    <t>Compresenza</t>
  </si>
  <si>
    <t>Qualifica</t>
  </si>
  <si>
    <t>Mensilità (Tab 12)</t>
  </si>
  <si>
    <t>c=(b/a*12)</t>
  </si>
  <si>
    <t>e=(c-d)</t>
  </si>
  <si>
    <t>f=(e/d*100)</t>
  </si>
  <si>
    <t>Spesa per stipendio (Tab 12)</t>
  </si>
  <si>
    <t>Spesa media annua per stipendio (per 12 mensilità)</t>
  </si>
  <si>
    <t>Importi stipendiali contrattuali annui (per 12 mensilità)</t>
  </si>
  <si>
    <t>Scostamento percentuale</t>
  </si>
  <si>
    <t>(*) Personale comandato e fuori ruolo verso altre Amministrazioni</t>
  </si>
  <si>
    <t>Tot Assunti (Tab 6)</t>
  </si>
  <si>
    <t>Controlli di coerenza</t>
  </si>
  <si>
    <t>IMPORTI</t>
  </si>
  <si>
    <t>Codici spesa</t>
  </si>
  <si>
    <t>Importi comunicati (Tab 14)</t>
  </si>
  <si>
    <t>Incidenza percentuale: Importi comunicati Tab 14 / (Tabella 12 + Tabella 13)</t>
  </si>
  <si>
    <t>N U M E R O   D I   D I P E N D E N T I</t>
  </si>
  <si>
    <t xml:space="preserve">N U M E R O   D I   D I P E N D E N T I </t>
  </si>
  <si>
    <t xml:space="preserve">N U M E R O   D I   D I P E N D E N T I  </t>
  </si>
  <si>
    <t>N U M E R O   G I O R N I   D I   A S S E N Z A</t>
  </si>
  <si>
    <t xml:space="preserve">USCITI da: 
qualifica/posizione economica/profilo
</t>
  </si>
  <si>
    <t xml:space="preserve">Codice
</t>
  </si>
  <si>
    <t>V O C I   D I   S P E S A</t>
  </si>
  <si>
    <t>U O M I N I</t>
  </si>
  <si>
    <t>D O N N E</t>
  </si>
  <si>
    <t>Tavola di controllo degli usciti dalla qualifica di Tabella 4 (Squadratura 4)</t>
  </si>
  <si>
    <t>Tavola di congruenza tra spesa media annua per stipendio (Tabella 12) e importi stipendiali contrattuali</t>
  </si>
  <si>
    <t>Tavola di controllo dei valori di spesa di Tabella 14: incidenza % di ciascun valore sul totale delle spese di Tabella 12+Tabella 13</t>
  </si>
  <si>
    <t>TOTALE TABELLA 12 + TABELLA 13:</t>
  </si>
  <si>
    <t>PARTITA IVA DELL'ENTE</t>
  </si>
  <si>
    <t xml:space="preserve">CODICE FISCALE DELL'ENTE </t>
  </si>
  <si>
    <t>TELEFONO</t>
  </si>
  <si>
    <t xml:space="preserve">FAX </t>
  </si>
  <si>
    <t>E-MAIL</t>
  </si>
  <si>
    <t>INDIRIZZO</t>
  </si>
  <si>
    <t xml:space="preserve">VIA </t>
  </si>
  <si>
    <t>C.A.P.</t>
  </si>
  <si>
    <t>PRESIDENTE:</t>
  </si>
  <si>
    <t>COGNOME</t>
  </si>
  <si>
    <t>NOME</t>
  </si>
  <si>
    <t>COMPONENTI:</t>
  </si>
  <si>
    <t>I modelli debbono essere sottoscritti dai revisori dei conti</t>
  </si>
  <si>
    <t>SI</t>
  </si>
  <si>
    <t>NO</t>
  </si>
  <si>
    <t>Non compilare</t>
  </si>
  <si>
    <t>numero contratti</t>
  </si>
  <si>
    <t>numero unità</t>
  </si>
  <si>
    <t>042000</t>
  </si>
  <si>
    <t>034000</t>
  </si>
  <si>
    <t>032000</t>
  </si>
  <si>
    <t>000061</t>
  </si>
  <si>
    <t>Categoria D</t>
  </si>
  <si>
    <t>CD</t>
  </si>
  <si>
    <t>Categoria C</t>
  </si>
  <si>
    <t>CC</t>
  </si>
  <si>
    <t>Categoria B</t>
  </si>
  <si>
    <t>CB</t>
  </si>
  <si>
    <t>Personale contrattista</t>
  </si>
  <si>
    <t>PC</t>
  </si>
  <si>
    <t>I207</t>
  </si>
  <si>
    <t>I212</t>
  </si>
  <si>
    <t>S604</t>
  </si>
  <si>
    <t>S998</t>
  </si>
  <si>
    <t>S999</t>
  </si>
  <si>
    <t>T101</t>
  </si>
  <si>
    <t>*1</t>
  </si>
  <si>
    <t>*2</t>
  </si>
  <si>
    <t>*6</t>
  </si>
  <si>
    <t>*7</t>
  </si>
  <si>
    <t>ND</t>
  </si>
  <si>
    <t>E-Mail</t>
  </si>
  <si>
    <t>*8</t>
  </si>
  <si>
    <t>*3</t>
  </si>
  <si>
    <t>*4</t>
  </si>
  <si>
    <t>*15</t>
  </si>
  <si>
    <t>ESTERO</t>
  </si>
  <si>
    <t>FRIULI VENEZIA GIULIA</t>
  </si>
  <si>
    <t>PROVINCIA AUTONOMA TRENTO</t>
  </si>
  <si>
    <t>PROVINCIA AUTONOMA BOLZANO</t>
  </si>
  <si>
    <t>N° Civico</t>
  </si>
  <si>
    <t>F00</t>
  </si>
  <si>
    <t>SC1</t>
  </si>
  <si>
    <t>SS2</t>
  </si>
  <si>
    <t>Totale uomini e donne (Tab T5)</t>
  </si>
  <si>
    <t>Totale della Tabella T13</t>
  </si>
  <si>
    <t>TABELLE 12 -13 ASSENTI</t>
  </si>
  <si>
    <t>Totale usciti (Tab T4)</t>
  </si>
  <si>
    <t>Mensilità (Tab T12)</t>
  </si>
  <si>
    <t>Tavola di congruenza tra Presenti al 31-12 del totale  uomini e donne o Totale uomini e donne Tabella 5 e mensilità della Tabella T12</t>
  </si>
  <si>
    <t>Congruenza (se a&gt;0 o b&gt;0 o c&gt;0 e d&gt;0 )</t>
  </si>
  <si>
    <t>1.0</t>
  </si>
  <si>
    <t>000096</t>
  </si>
  <si>
    <t>0D0102</t>
  </si>
  <si>
    <t>0D0103</t>
  </si>
  <si>
    <t>0D0485</t>
  </si>
  <si>
    <t>Categoria A</t>
  </si>
  <si>
    <t>CA</t>
  </si>
  <si>
    <t>PERSONALE SCOLASTICO</t>
  </si>
  <si>
    <t>ARRETRATI ANNI PRECEDENTI</t>
  </si>
  <si>
    <t>STRAORDINARIO</t>
  </si>
  <si>
    <t>I125</t>
  </si>
  <si>
    <t>I143</t>
  </si>
  <si>
    <t>S615</t>
  </si>
  <si>
    <t>NF</t>
  </si>
  <si>
    <t>*16</t>
  </si>
  <si>
    <t>ATTENZIONE: non compilare in caso in cui l'ente non è tenuto all'invio</t>
  </si>
  <si>
    <t>Congruenza          ( a&gt;0 e b&gt;0)</t>
  </si>
  <si>
    <t>CITTA'                                                     PROV.</t>
  </si>
  <si>
    <t>TABELLE COMPILATE
(attenzione: la seguente sezione verrà compilata in automatico; all'atto dell'inserimento dei dati nel kit verrà annerita la relativa casella)</t>
  </si>
  <si>
    <t>Sede autonoma</t>
  </si>
  <si>
    <t>% di superficie in area montana</t>
  </si>
  <si>
    <t>% di popolazione residente in area montana</t>
  </si>
  <si>
    <t>Fino a 1 anno</t>
  </si>
  <si>
    <t>Da 1 a 2 anni</t>
  </si>
  <si>
    <t>Da 2 a 3 anni</t>
  </si>
  <si>
    <t>Oltre i 3 anni</t>
  </si>
  <si>
    <t>Uomo / Donna</t>
  </si>
  <si>
    <t>Tempo determinato</t>
  </si>
  <si>
    <t>TOTALE Tempo determinato</t>
  </si>
  <si>
    <t>Z01</t>
  </si>
  <si>
    <t>SI_1A</t>
  </si>
  <si>
    <t>T2A</t>
  </si>
  <si>
    <t>*17</t>
  </si>
  <si>
    <t>*19</t>
  </si>
  <si>
    <t>*20</t>
  </si>
  <si>
    <t>Convenzioni esterni (IN) (Tab 3)</t>
  </si>
  <si>
    <t>Convenzioni interni (OUT) (Tab 3)</t>
  </si>
  <si>
    <t>o</t>
  </si>
  <si>
    <t>q</t>
  </si>
  <si>
    <t>r</t>
  </si>
  <si>
    <t>t</t>
  </si>
  <si>
    <t>Totale (Uomini + donne della sezione "Personale Esterno" COMANDATI / DISTACCATI + FUORI RUOLO+CONVENZIONI)+Mensilità medie da T12(mensilità /12)</t>
  </si>
  <si>
    <t>E’ stato istituito un ufficio / servizio disciplinare?</t>
  </si>
  <si>
    <t>*21</t>
  </si>
  <si>
    <t>DIRIGENTI</t>
  </si>
  <si>
    <t>RILEVAZIONE CEPEL</t>
  </si>
  <si>
    <t>valore</t>
  </si>
  <si>
    <t xml:space="preserve">Assunzione per chiamata diretta (L. 68/99 - categorie protette) </t>
  </si>
  <si>
    <t xml:space="preserve">Assunzione per chiamata numerica (L. 68/99 - categorie protette) </t>
  </si>
  <si>
    <t>I422</t>
  </si>
  <si>
    <t>Passaggi da altra Amministrazione dello stesso comparto (*)</t>
  </si>
  <si>
    <t>Passaggi da altra Amministrazione di altro comparto (*)</t>
  </si>
  <si>
    <t>Tavola di controllo dei Valori Medi</t>
  </si>
  <si>
    <t>valori medi assenze</t>
  </si>
  <si>
    <r>
      <t xml:space="preserve">mensilità medie </t>
    </r>
    <r>
      <rPr>
        <b/>
        <sz val="7"/>
        <rFont val="Arial"/>
        <family val="2"/>
      </rPr>
      <t xml:space="preserve">
</t>
    </r>
    <r>
      <rPr>
        <sz val="7"/>
        <rFont val="Arial"/>
        <family val="2"/>
      </rPr>
      <t>(mensilità/12)</t>
    </r>
  </si>
  <si>
    <t>ASSENZE RETRIBUITE</t>
  </si>
  <si>
    <t>ASSENZE NON RETRIBUITE</t>
  </si>
  <si>
    <r>
      <t xml:space="preserve">TOTALE VOCI STIPENDIALI
TABELLA 12
</t>
    </r>
    <r>
      <rPr>
        <sz val="7"/>
        <rFont val="Small Fonts"/>
        <family val="2"/>
      </rPr>
      <t>(esclusi arr. anni prec. e recuperi)</t>
    </r>
  </si>
  <si>
    <t>INDENNITA' FISSE</t>
  </si>
  <si>
    <t>ALTRE ACCESSORIE</t>
  </si>
  <si>
    <r>
      <t xml:space="preserve">TOTALE INDENNITA' FISSE ED ACCESSORIE
TABELLA 13
</t>
    </r>
    <r>
      <rPr>
        <sz val="7"/>
        <rFont val="Small Fonts"/>
        <family val="2"/>
      </rPr>
      <t>(esclusi arretrati anni precedenti)</t>
    </r>
  </si>
  <si>
    <t>COMPONENTI COLLEGIO DEI REVISORI (O ORGANO EQUIVALENTE)</t>
  </si>
  <si>
    <t>RESPONSABILE DEL PROCEDIMENTO AMMINISTRATIVO DI CUI ALLA LEGGE 7/8/90, N. 241 CAPO II°</t>
  </si>
  <si>
    <t>Anzianità di servizio maturata al 31/12, anche in modo non continuativo, nell'attuale o in altre amministrazioni</t>
  </si>
  <si>
    <t>POSIZIONE ECONOMICA C2</t>
  </si>
  <si>
    <t>POSIZIONE ECONOMICA B3</t>
  </si>
  <si>
    <t>POSIZIONE ECONOMICA B2</t>
  </si>
  <si>
    <t>*24</t>
  </si>
  <si>
    <t>SCIOPERO</t>
  </si>
  <si>
    <t>Tavola di compresenza tra importi comunicati in tab.13 e mensilità (tab.12) o personale esterno (tab.3)</t>
  </si>
  <si>
    <t>INFORMAZIONI ISTITUZIONE</t>
  </si>
  <si>
    <t>DOMANDE PRESENTI IN CIRCOLARE</t>
  </si>
  <si>
    <t>Collocamento a riposo per limiti di età</t>
  </si>
  <si>
    <t>Passaggi per esternalizzazioni (*)</t>
  </si>
  <si>
    <t>ALTRE SPESE ACCESSORIE ED INDENNITA' VARIE</t>
  </si>
  <si>
    <t>Nomina da concorso</t>
  </si>
  <si>
    <t>C01</t>
  </si>
  <si>
    <t>C03</t>
  </si>
  <si>
    <t>C17</t>
  </si>
  <si>
    <t>C18</t>
  </si>
  <si>
    <t>C19</t>
  </si>
  <si>
    <t>C99</t>
  </si>
  <si>
    <t>A23</t>
  </si>
  <si>
    <t>A24</t>
  </si>
  <si>
    <t>A27</t>
  </si>
  <si>
    <t>A28</t>
  </si>
  <si>
    <t>A29</t>
  </si>
  <si>
    <t>A30</t>
  </si>
  <si>
    <t>A31</t>
  </si>
  <si>
    <t>S710</t>
  </si>
  <si>
    <t>COMPENSO AGGIUNTIVO AL SEGR. COMUNALE QUALE DIR. GENERALE</t>
  </si>
  <si>
    <t>L'Ente fa parte di una "Unione di Comuni", ai sensi dell'art. 32 del d.lgs 267/2000 o di analoghe disposizioni delle Regioni e Province Autonome?</t>
  </si>
  <si>
    <t>NUMERO UNITA'</t>
  </si>
  <si>
    <t>Numero di persone in ingresso o uscita con mobilità fra pubblico e privato ex art. 23 bis comma 7 d.lgs.165/2001 o di analoghe disposizioni delle Regioni e Province Autonome</t>
  </si>
  <si>
    <t>Inserire in ciascuna riga il codice di un Comune che partecipa all'Ente (vedi ‘LISTA ISTITUZIONI’ scaricata con il KIT)</t>
  </si>
  <si>
    <t>Totale Risorse fisse</t>
  </si>
  <si>
    <t>Risorse variabili</t>
  </si>
  <si>
    <t>Totale Risorse variabili</t>
  </si>
  <si>
    <t>ALTRI PERMESSI ED ASSENZE RETRIBUITE</t>
  </si>
  <si>
    <t>ASS.RETRIB.:MATERNITA',CONGEDO PARENT.,MALATTIA FIGLIO</t>
  </si>
  <si>
    <t>LEGGE 104/92</t>
  </si>
  <si>
    <t>PR4</t>
  </si>
  <si>
    <t>PR5</t>
  </si>
  <si>
    <t>PR6</t>
  </si>
  <si>
    <t>ABRUZZO</t>
  </si>
  <si>
    <t xml:space="preserve">GESTIONE MENSE </t>
  </si>
  <si>
    <t>SOMME CORRISPOSTE AD AGENZIA DI SOMMINISTRAZIONE(INTERINALI)</t>
  </si>
  <si>
    <t>RETRIBUZIONI PERSONALE  A TEMPO DETERMINATO</t>
  </si>
  <si>
    <t>RETRIBUZIONI PERSONALE CON CONTRATTO DI FORMAZIONE E LAVORO</t>
  </si>
  <si>
    <t>CONTRIBUTI A CARICO DELL'AMM.NE SU COMP. FISSE E ACCESSORIE</t>
  </si>
  <si>
    <t>QUOTE ANNUE ACCANTONAMENTO TFR O ALTRA IND. FINE SERVIZIO</t>
  </si>
  <si>
    <t>ONERI PER I CONTRATTI DI SOMMINISTRAZIONE(INTERINALI)</t>
  </si>
  <si>
    <t>S720</t>
  </si>
  <si>
    <t>b=&lt;a</t>
  </si>
  <si>
    <r>
      <rPr>
        <i/>
        <sz val="10"/>
        <rFont val="Arial"/>
        <family val="2"/>
      </rPr>
      <t>Tipologia di Ente:</t>
    </r>
    <r>
      <rPr>
        <b/>
        <sz val="10"/>
        <rFont val="Arial"/>
        <family val="2"/>
      </rPr>
      <t xml:space="preserve"> COMUNI </t>
    </r>
    <r>
      <rPr>
        <sz val="10"/>
        <rFont val="Arial"/>
        <family val="2"/>
      </rPr>
      <t>e</t>
    </r>
    <r>
      <rPr>
        <b/>
        <sz val="10"/>
        <rFont val="Arial"/>
        <family val="2"/>
      </rPr>
      <t xml:space="preserve"> PROVINCE</t>
    </r>
  </si>
  <si>
    <t>Numero di unità appartenenti alla polizia locale (SI_1A)</t>
  </si>
  <si>
    <t>Categoria</t>
  </si>
  <si>
    <t>Dirigenti</t>
  </si>
  <si>
    <r>
      <rPr>
        <i/>
        <sz val="10"/>
        <rFont val="Arial"/>
        <family val="2"/>
      </rPr>
      <t>Tipologia di Ente:</t>
    </r>
    <r>
      <rPr>
        <b/>
        <sz val="10"/>
        <rFont val="Arial"/>
        <family val="2"/>
      </rPr>
      <t xml:space="preserve"> UNIONE di COMUNI</t>
    </r>
  </si>
  <si>
    <r>
      <rPr>
        <i/>
        <sz val="10"/>
        <rFont val="Arial"/>
        <family val="2"/>
      </rPr>
      <t>Tipologia di Ente:</t>
    </r>
    <r>
      <rPr>
        <b/>
        <sz val="10"/>
        <rFont val="Arial"/>
        <family val="2"/>
      </rPr>
      <t xml:space="preserve"> COMUNITA' MONTANE</t>
    </r>
  </si>
  <si>
    <t>P098</t>
  </si>
  <si>
    <r>
      <t>ANOMALIE RISCONTRATE</t>
    </r>
    <r>
      <rPr>
        <b/>
        <sz val="10"/>
        <rFont val="Arial"/>
        <family val="2"/>
      </rPr>
      <t xml:space="preserve">
(attenzione: la seguente sezione verrà compilata in automatico; all'atto dell'inserimento dei dati nel kit verranno evidenziate eventuali anomalie)</t>
    </r>
  </si>
  <si>
    <r>
      <t xml:space="preserve">*(asterisco): si intende campo obbligatorio
</t>
    </r>
    <r>
      <rPr>
        <sz val="9"/>
        <rFont val="Arial"/>
        <family val="2"/>
      </rPr>
      <t>(1)</t>
    </r>
    <r>
      <rPr>
        <sz val="8"/>
        <rFont val="Arial"/>
        <family val="2"/>
      </rPr>
      <t xml:space="preserve">  </t>
    </r>
    <r>
      <rPr>
        <i/>
        <sz val="11"/>
        <rFont val="Arial"/>
        <family val="2"/>
      </rPr>
      <t>La SQ7 va considerata solo dagli Enti tenuti alla compilazione della SI_1A (Comuni, Province, Unioni di Comuni, Comunità Montane)</t>
    </r>
  </si>
  <si>
    <t>ATTENZIONE: LA PRESENTE TAVOLA VA CONSIDERATA SOLO DAGLI ENTI 
TENUTI ALL'INVIO DELLA SI_1A 
(Comuni, Province, Unioni di Comuni, Comunità Montane)</t>
  </si>
  <si>
    <t>Indicare il numero di contratti per prestazioni professionali consistenti nella resa di servizi o adempimenti obbligatori per legge.</t>
  </si>
  <si>
    <t>Indicare il totale delle somme trattenute ai dipendenti nell'anno di rilevazione per le assenze per malattia in applicazione dell'art. 71 del D.L. n. 112 del 25/06/2008 convertito in L. 133/2008.</t>
  </si>
  <si>
    <t>Congruenza (max scostamento consentito +/- 2%)</t>
  </si>
  <si>
    <t>v. a. di f&lt;=2%</t>
  </si>
  <si>
    <t>tra 41 e 43 anni</t>
  </si>
  <si>
    <t>44 e oltre</t>
  </si>
  <si>
    <t>tra 65 e 67 anni</t>
  </si>
  <si>
    <t>68 e oltre</t>
  </si>
  <si>
    <t>C25</t>
  </si>
  <si>
    <t>O10</t>
  </si>
  <si>
    <t>CONGEDI RETRIBUITI AI SENSI DELL'ART.42,C.5, DLGS 151/2001</t>
  </si>
  <si>
    <t>0D0164</t>
  </si>
  <si>
    <t>IND. DI VACANZA CONTRATTUALE</t>
  </si>
  <si>
    <t>IND. DI VIGILANZA</t>
  </si>
  <si>
    <t>COMPENSI ONERI RISCHI E DISAGI</t>
  </si>
  <si>
    <t>FONDO SPECIF. RESPONSAB.</t>
  </si>
  <si>
    <t>SOMME RIMBORSATE PER PERSONALE COMAND./FUORI RUOLO/IN CONV.</t>
  </si>
  <si>
    <t>ALTRE SOMME RIMBORSATE ALLE AMMINISTRAZIONI</t>
  </si>
  <si>
    <t>P074</t>
  </si>
  <si>
    <t>P099</t>
  </si>
  <si>
    <t>c=(b/a)</t>
  </si>
  <si>
    <t>f=(e/a)</t>
  </si>
  <si>
    <t>Incidenza percentuale arretrati a.p.</t>
  </si>
  <si>
    <t>Incidenza percentuale altre accessorie</t>
  </si>
  <si>
    <t>Incongruenza 8</t>
  </si>
  <si>
    <t>IN 8</t>
  </si>
  <si>
    <t>c&lt;=20%</t>
  </si>
  <si>
    <t>f&lt;=20%</t>
  </si>
  <si>
    <t>Congruenza (max incidenza consentita 20%)</t>
  </si>
  <si>
    <t>Tavola di controllo della spesa per "arretrati a.p." e "altre accessorie" di T13: incidenza % di ciascun valore sul totale di Tabella 13</t>
  </si>
  <si>
    <t>A015</t>
  </si>
  <si>
    <t>A035</t>
  </si>
  <si>
    <t>A045</t>
  </si>
  <si>
    <t>A070</t>
  </si>
  <si>
    <t>M000</t>
  </si>
  <si>
    <t>NOTE</t>
  </si>
  <si>
    <t>*28</t>
  </si>
  <si>
    <t>NUMERO</t>
  </si>
  <si>
    <t>Solo per chi ha risposto SI' alla domanda n. 28</t>
  </si>
  <si>
    <t>Voce di spesa (Tab 14)</t>
  </si>
  <si>
    <t>codice (Tab 14)</t>
  </si>
  <si>
    <t>Valore Medio Unitario:
b / a</t>
  </si>
  <si>
    <t>Incidenza % 
L105 / P062</t>
  </si>
  <si>
    <t>Compresenza 
e/o 
controllo incidenza %</t>
  </si>
  <si>
    <t>RIMBORSI RICEVUTI PER PERS. COMAND./FUORI RUOLO/IN CONV. (-)</t>
  </si>
  <si>
    <t>SOMME RICEVUTE DA U.E. E/O PRIVATI (-)</t>
  </si>
  <si>
    <t>ALTRI RIMBORSI RICEVUTI DALLE AMMINISTRAZIONI (-)</t>
  </si>
  <si>
    <t>quante funzioni con convenzioni?</t>
  </si>
  <si>
    <t>quante funzioni con unione di comuni?</t>
  </si>
  <si>
    <t>(*)  gli importi vanno indicati in EURO, senza cifre decimali (cfr. circolare: "istruzioni generali e specifiche di comparto")</t>
  </si>
  <si>
    <r>
      <t xml:space="preserve">valori medi annui pro-capite per voci retributive a carattere "stipendiale" </t>
    </r>
    <r>
      <rPr>
        <sz val="8"/>
        <rFont val="Arial"/>
        <family val="2"/>
      </rPr>
      <t>(**)</t>
    </r>
  </si>
  <si>
    <r>
      <t>valori medi annui pro-capite per indennità e compensi accessori</t>
    </r>
    <r>
      <rPr>
        <sz val="8"/>
        <rFont val="Arial"/>
        <family val="2"/>
      </rPr>
      <t xml:space="preserve"> (**)</t>
    </r>
  </si>
  <si>
    <t>(**) Valore medio annuo pro-capite calcolato dividendo la spesa per le unità di riferimento (mensilità della T12 / 12)</t>
  </si>
  <si>
    <t>Indicare il numero di unita di personale utilizzato a qualsiasi titolo (comando o altro) nelle attivita esternalizzate con esclusione delle unita effettivamente cessate a seguito di esternalizzazioni.</t>
  </si>
  <si>
    <t>Quanti sono i dipendenti al 31.12 in aspettativa per dottorato di ricerca con retribuzione a carico dell'amministrazione ai sensi dell’articolo 2 della legge 476/1984 e s.m.?</t>
  </si>
  <si>
    <t>assenze in T11, ma nessuna unità in T1</t>
  </si>
  <si>
    <t xml:space="preserve">Controllo incidenza % L105 / P062  =&gt;  </t>
  </si>
  <si>
    <t>Incongruenza
[(a-gg formazione)&gt;(mens.T12/12*260)]</t>
  </si>
  <si>
    <t>(b) cfr." istruzioni generali e specifiche di comparto" e "glossario"</t>
  </si>
  <si>
    <t>SEGRETARIO I FASCIA</t>
  </si>
  <si>
    <t>SEGRETARIO II FASCIA</t>
  </si>
  <si>
    <t>SEGRETARIO III FASCIA</t>
  </si>
  <si>
    <t>POSIZIONE ECONOMICA D</t>
  </si>
  <si>
    <t>047000</t>
  </si>
  <si>
    <t>POSIZIONE ECONOMICA C1</t>
  </si>
  <si>
    <t>040000</t>
  </si>
  <si>
    <t>POSIZIONE ECONOMICA B1</t>
  </si>
  <si>
    <t>030000</t>
  </si>
  <si>
    <t>POSIZIONE ECONOMICA A</t>
  </si>
  <si>
    <t>022000</t>
  </si>
  <si>
    <t>POSIZIONE ECONOMICA D - FORESTALE</t>
  </si>
  <si>
    <t>047FOR</t>
  </si>
  <si>
    <t>042324</t>
  </si>
  <si>
    <t>040211</t>
  </si>
  <si>
    <t>034561</t>
  </si>
  <si>
    <t>032561</t>
  </si>
  <si>
    <t>POSIZIONE ECONOMICA B1 - FORESTALE</t>
  </si>
  <si>
    <t>030FOR</t>
  </si>
  <si>
    <t>REVA</t>
  </si>
  <si>
    <t>IND.SECONDA LINGUA</t>
  </si>
  <si>
    <t>IND. PENSIONABILE</t>
  </si>
  <si>
    <t>I402</t>
  </si>
  <si>
    <t>I514</t>
  </si>
  <si>
    <t>INCENTIVI ALLA PROGETTAZIONE EX LEGGE MERLONI</t>
  </si>
  <si>
    <t>T12 non compilata o assenze comunicate &gt; gg lavorabili (</t>
  </si>
  <si>
    <t>TREDICESIMA MENSILITA'</t>
  </si>
  <si>
    <t>I424</t>
  </si>
  <si>
    <t>INDENNITA' ART.42, COMMA 5-TER, D.LGS. 151/2001</t>
  </si>
  <si>
    <t>S190</t>
  </si>
  <si>
    <t>INDENNITA' DI STAFF/COLLABORAZIONE</t>
  </si>
  <si>
    <t>S630</t>
  </si>
  <si>
    <t xml:space="preserve">COMPENSI PRODUTTIVITA' </t>
  </si>
  <si>
    <t>COMPETENZE PERSONALE COMANDATO/DISTACCATO PRESSO L'AMM.NE</t>
  </si>
  <si>
    <t>S761</t>
  </si>
  <si>
    <t>TOTALE del personale da distribuire</t>
  </si>
  <si>
    <t>REFERENTE DA CONTATTARE</t>
  </si>
  <si>
    <t>Domande SI_1</t>
  </si>
  <si>
    <t>Unità annue
dichiarate in SI_1</t>
  </si>
  <si>
    <t>Totale presenti al
31-12 dichiarati in T1</t>
  </si>
  <si>
    <t>Controllo</t>
  </si>
  <si>
    <t>Assenze dichiarate</t>
  </si>
  <si>
    <t xml:space="preserve">Compresenza </t>
  </si>
  <si>
    <t>VOCI DI SPESA RILEVATE</t>
  </si>
  <si>
    <t>IMPORTO SICO</t>
  </si>
  <si>
    <t>IMPORTO BILANCIO (*)</t>
  </si>
  <si>
    <t>TABELLA 12</t>
  </si>
  <si>
    <t>A999</t>
  </si>
  <si>
    <t>TABELLA 13</t>
  </si>
  <si>
    <t>###</t>
  </si>
  <si>
    <t>ASSEGNI NUCLEO FAMILIARE</t>
  </si>
  <si>
    <t>GESTIONE MENSE</t>
  </si>
  <si>
    <t>CONTRATTI PER RESA SERVIZI /ADEMPIMENTI OBBLIGATORI PER LEGGE</t>
  </si>
  <si>
    <t xml:space="preserve">CONTRIBUTI A CARICO DELL'AMMINISTRAZIONE SU COMPETENZE FISSE ED ACCESSORIE </t>
  </si>
  <si>
    <t xml:space="preserve">IRAP </t>
  </si>
  <si>
    <t>SOMME RIMBORSATE ALLE AMMINISTRAZIONI PER SPESE DI PERSONALE (sommatoria dei diversi rimborsi presenti in tabella 14)</t>
  </si>
  <si>
    <t>P998</t>
  </si>
  <si>
    <t>TOTALE GENERALE</t>
  </si>
  <si>
    <t>RIMBORSI RICEVUTI  DALLE AMMINISTRAZIONI PER SPESE DI PERSONALE  (a riduzione) (sommatoria dei diversi rimborsi presenti in tabella 14)</t>
  </si>
  <si>
    <t>P999</t>
  </si>
  <si>
    <t>TOTALE GENERALE AL NETTO DEI RIMBORSI</t>
  </si>
  <si>
    <t>TRC</t>
  </si>
  <si>
    <t>IN 3</t>
  </si>
  <si>
    <t>Organizzazione generale dell'amministrazione, gestione finanziaria e contabile e controllo;</t>
  </si>
  <si>
    <t>Organizzazione dei servizi pubblici di interesse generale di ambito comunale, ivi compresi i servizi di trasporto pubblico comunale;</t>
  </si>
  <si>
    <t>Catasto, ad eccezione delle funzioni mantenute allo Stato dalla normativa vigente;</t>
  </si>
  <si>
    <t>La pianificazione urbanistica ed edilizia di ambito comunale nonché la partecipazione alla pianificazione territoriale di livello sovracomunale;</t>
  </si>
  <si>
    <t>Attività, in ambito comunale, di pianificazione di protezione civile e di coordinamento dei primi soccorsi;</t>
  </si>
  <si>
    <t>L'organizzazione e la gestione dei servizi di raccolta, avvio e smaltimento e recupero dei rifiuti urbani e la riscossione dei relativi tributi;</t>
  </si>
  <si>
    <t>Progettazione e gestione del sistema locale dei servizi sociali ed erogazione delle relative prestazioni ai cittadini, secondo quanto previsto dall'articolo 118, quarto comma, della Costituzione;</t>
  </si>
  <si>
    <t>Edilizia scolastica (per la parte non attribuita alla competenza delle province), organizzazione e gestione dei servizi scolastici;</t>
  </si>
  <si>
    <t>Polizia municipale e polizia amministrativa locale;</t>
  </si>
  <si>
    <t>Altro</t>
  </si>
  <si>
    <t>Indicare i servizi svolti dall'Unione di comuni</t>
  </si>
  <si>
    <t xml:space="preserve">Tenuta dei registri di stato civile e di popolazione e compiti in materia di servizi anagrafici nonché in materia di serv. elettorali e statistici, nell'esercizio delle funzioni di competenza statale; </t>
  </si>
  <si>
    <t>NOTE: Elenco Istituzioni ed importi dei rimborsi effettuati (**)</t>
  </si>
  <si>
    <t>NOTE: Elenco Istituzioni ed importi dei rimborsi ricevuti (***)</t>
  </si>
  <si>
    <t>(**) campo riservato all'inserimento delle informazioni di dettaglio (nome Istituzione ed importo) riguardanti i rimborsi effettuati (P071, P074). Eventuali note su altre voci di spesa dovranno essere immesse nel campo "note e chiarimenti" della SI_1</t>
  </si>
  <si>
    <t>(***) campo riservato all'inserimento delle informazioni di dettaglio (nome Istituzione ed importo) riguardanti i rimborsi ricevuti (P090, P098, P099). Eventuali note su altre voci di spesa dovranno essere immesse nel campo "note e chiarimenti" della SI_1</t>
  </si>
  <si>
    <t>SOMME CORRISPOSTE AD AGENZIA DI SOMMINISTRAZIONE (INTERINALI)</t>
  </si>
  <si>
    <t>ONERI PER I CONTRATTI DI SOMMINISTRAZIONE (INTERINALI)</t>
  </si>
  <si>
    <t xml:space="preserve">RETRIBUZIONI PERSONALE A TEMPO DETERMINATO </t>
  </si>
  <si>
    <t>QUOTE ANNUE DI ACCANTONAMENTO  TFR O ALTRA INDENNITA'  FINE SERVIZIO</t>
  </si>
  <si>
    <t>COMPENSI PER PERSONALE ADDETTO A LAVORI SOCIALMENTE UTILI</t>
  </si>
  <si>
    <t>Convenzione 1</t>
  </si>
  <si>
    <t>Al 31.12 l'Ente è capofila di una convenzione stipulata ai sensi dell'art. 30 del T.U.E.L. , o di analoghe disposizioni delle Regioni e Province Autonome?</t>
  </si>
  <si>
    <t>CODICE ENTE</t>
  </si>
  <si>
    <t>In caso di risposta negativa indicare il codice dell'Ente capofila (file con i codici degli enti associato al kit excel)</t>
  </si>
  <si>
    <t>In caso di risposta positiva indicare quali sono i servizi oggetto della convenzione selezionandoli dall'elenco proposto</t>
  </si>
  <si>
    <t>Tenuta dei reg. di stato civile e di pop.zione e compiti in materia di servizi anagrafici nonché in materia di serv. elettorali e statistici, nell'esercizio delle funzioni di competenza statale</t>
  </si>
  <si>
    <t xml:space="preserve">Convenzione 2 </t>
  </si>
  <si>
    <t>Convenzione 3</t>
  </si>
  <si>
    <t>*31</t>
  </si>
  <si>
    <t>*32</t>
  </si>
  <si>
    <t>Convenzione 4</t>
  </si>
  <si>
    <t>*46</t>
  </si>
  <si>
    <t>*47</t>
  </si>
  <si>
    <t>Convenzione 5</t>
  </si>
  <si>
    <t>*61</t>
  </si>
  <si>
    <t>*62</t>
  </si>
  <si>
    <t>SI_1A_CONV</t>
  </si>
  <si>
    <t>C21</t>
  </si>
  <si>
    <t>A35</t>
  </si>
  <si>
    <t>CONTRIBUTI A CARICO DELL'AMM.NE PER FONDI PREV. COMPLEMENTARE</t>
  </si>
  <si>
    <t>P035</t>
  </si>
  <si>
    <t>Si</t>
  </si>
  <si>
    <t>No</t>
  </si>
  <si>
    <r>
      <rPr>
        <b/>
        <sz val="7"/>
        <rFont val="Helv"/>
      </rPr>
      <t>IRAP</t>
    </r>
    <r>
      <rPr>
        <sz val="7"/>
        <rFont val="Helv"/>
      </rPr>
      <t xml:space="preserve">
</t>
    </r>
    <r>
      <rPr>
        <b/>
        <sz val="7"/>
        <rFont val="Helv"/>
      </rPr>
      <t>Commerciale</t>
    </r>
  </si>
  <si>
    <t>Unità di personale con qualifica dirigenziale assegnate agli uffici di diretta collaborazione con gli organi di indirizzo politico</t>
  </si>
  <si>
    <t xml:space="preserve">Unità di personale non dirigente assegnate agli uffici di diretta collaborazione con gli organi di indirizzo politico </t>
  </si>
  <si>
    <t>Coerenza T1 con personale T3 OUT</t>
  </si>
  <si>
    <t>Coerenza distribuzione territoriale</t>
  </si>
  <si>
    <t>a&gt;=(e+f+g+h+i)</t>
  </si>
  <si>
    <t>l&gt;=(p+q+r+s+t)</t>
  </si>
  <si>
    <t>sono presenti unità in T1 o personale esterno in T3, ma non assenze in T11</t>
  </si>
  <si>
    <t>ATTENZIONE: Per gli Enti che non sono tenuti all’invio della Tabella 10, la Tavola va considerata con riferimento al diagnostico della colonna “Coerenza T1 con personale T3 OUT”</t>
  </si>
  <si>
    <t>Totale Fondo progressione orizzontale</t>
  </si>
  <si>
    <t>Personale stabilizzato da LSU/LPU</t>
  </si>
  <si>
    <t>COMPENSI PER PERSONALE LSU/LPU</t>
  </si>
  <si>
    <t>NOTE E CHIARIMENTI ALLA RILEVAZIONE
(max 1500 caratteri)</t>
  </si>
  <si>
    <t xml:space="preserve">Tavola di congruenza tra il personale a Tempo Determinato comunicato in T2 con la ripartizione dello stesso personale comunicato in T2A
</t>
  </si>
  <si>
    <t>Totale T2</t>
  </si>
  <si>
    <t>Totale T2A</t>
  </si>
  <si>
    <t>Confronto T2/T2A</t>
  </si>
  <si>
    <t>U+D</t>
  </si>
  <si>
    <t>a con d</t>
  </si>
  <si>
    <t>b con e</t>
  </si>
  <si>
    <t>IN 10</t>
  </si>
  <si>
    <r>
      <t xml:space="preserve">COGNOME </t>
    </r>
    <r>
      <rPr>
        <b/>
        <sz val="12"/>
        <rFont val="Arial"/>
        <family val="2"/>
      </rPr>
      <t>*</t>
    </r>
  </si>
  <si>
    <r>
      <t xml:space="preserve">NOME </t>
    </r>
    <r>
      <rPr>
        <b/>
        <sz val="12"/>
        <rFont val="Arial"/>
        <family val="2"/>
      </rPr>
      <t>*</t>
    </r>
  </si>
  <si>
    <r>
      <t xml:space="preserve">E-Mail </t>
    </r>
    <r>
      <rPr>
        <b/>
        <sz val="12"/>
        <rFont val="Arial"/>
        <family val="2"/>
      </rPr>
      <t>*</t>
    </r>
  </si>
  <si>
    <r>
      <rPr>
        <sz val="8"/>
        <rFont val="Arial"/>
        <family val="2"/>
      </rPr>
      <t xml:space="preserve">TELEFONO </t>
    </r>
    <r>
      <rPr>
        <b/>
        <sz val="12"/>
        <rFont val="Arial"/>
        <family val="2"/>
      </rPr>
      <t>*</t>
    </r>
  </si>
  <si>
    <t>DATI SIOPE</t>
  </si>
  <si>
    <t>(sono evidenziate quelle valorizzate nella T1)</t>
  </si>
  <si>
    <t>(sono evidenziate le qualifiche valorizzate per l'anno)</t>
  </si>
  <si>
    <t>*57</t>
  </si>
  <si>
    <t>*58</t>
  </si>
  <si>
    <t>*59</t>
  </si>
  <si>
    <t>Risoluz. rapporto di lavoro</t>
  </si>
  <si>
    <t>Somme
dichiarate in SI_1</t>
  </si>
  <si>
    <t>Spesa complessivamente sostenuta per il personale con qualifica dirigenziale assegnato agli uffici di diretta collaborazione con gli organi di indirizzo politico</t>
  </si>
  <si>
    <t>Spesa complessivamente sostenuta per il personale non dirigenziale assegnato agli uffici di diretta collaborazione con gli organi di indirizzo politico</t>
  </si>
  <si>
    <t>CONTRATTISTI</t>
  </si>
  <si>
    <t>COLLABORATORE A TEMPO DETERMINATO</t>
  </si>
  <si>
    <t>ASSEGNO AD PERSONAM</t>
  </si>
  <si>
    <t>I418</t>
  </si>
  <si>
    <t xml:space="preserve"> Incongruenza 1</t>
  </si>
  <si>
    <t>Tavola di compresenza tra valori di organico di personale con rapporto di lavoro flessibile di Scheda Informativa 1 e relativa spesa di Tabella 14</t>
  </si>
  <si>
    <t>Tipologia lavoro flessibile (SI_1)</t>
  </si>
  <si>
    <t>Unità annue 
(SI_1)</t>
  </si>
  <si>
    <t xml:space="preserve"> Incongruenza 11</t>
  </si>
  <si>
    <t>Tavola di compresenza tra valori di organico di personale con rapporto di lavoro flessibile di Tabella 2 e relativa spesa di Tabella 14</t>
  </si>
  <si>
    <t>Tipologia lavoro flessibile (Tab 2)</t>
  </si>
  <si>
    <t>Unità annue 
(Tab 2)</t>
  </si>
  <si>
    <t>Tavola di coerenza tra valori dichiarati in SI_1 come appartenenti a categorie protette, titolari di permessi per legge n. 104/92, titolari di permessi ai sensi dell'art. 42, comma 5 d.lgs. 151/2001, con il personale indicato in  Tab. 1</t>
  </si>
  <si>
    <t xml:space="preserve"> Incongruenza 12</t>
  </si>
  <si>
    <t xml:space="preserve">Tavola di compresenza tra valori dichiarati nella SI_1 come titolari di permessi per legge n. 104/92 e titolari di permessi ai sensi dell'art. 42, comma 5 d.lgs. 151/2001, con le giornate di assenza indicate in Tab. 11 </t>
  </si>
  <si>
    <t xml:space="preserve"> Incongruenza 13</t>
  </si>
  <si>
    <t>Tavola di compresenza tra le somme trattenute per malattia indicate nella SI_1 e i giorni di assenza per malattia retribuita indicati nella Tab. 11</t>
  </si>
  <si>
    <t>Tavola di congruenza tra i giorni di assenza indicati nella Tabella 11 e i valori di organico inseriti nelle Tabelle 1, 3, 4, 5 (incongruenza 7)</t>
  </si>
  <si>
    <t xml:space="preserve">Tavola di congruenza tra i giorni totali pro-capite di assenza (escluse assenze per formazione e quelle non retribuite) calcolati dai valori indicati nella Tabella 11, con il numero MAX dei gg lavorativi annui
</t>
  </si>
  <si>
    <t>Totale della Tabella T11 esclusa formazione e altre ass. non retribuite</t>
  </si>
  <si>
    <t>Mensilità/12</t>
  </si>
  <si>
    <t>Incongruenza 14</t>
  </si>
  <si>
    <t>IN 11</t>
  </si>
  <si>
    <t>IN 12</t>
  </si>
  <si>
    <t>IN 13</t>
  </si>
  <si>
    <t>IN 14</t>
  </si>
  <si>
    <t>IN 16</t>
  </si>
  <si>
    <t>SQ 9</t>
  </si>
  <si>
    <t>SICI</t>
  </si>
  <si>
    <t>*60</t>
  </si>
  <si>
    <t>E’ stato rispettato l’art. 1 c. 557 e il comma 557-quater, l.f. per l’anno 2007 e  o analoga disposizione delle Regioni e Province Autonome?</t>
  </si>
  <si>
    <t>_</t>
  </si>
  <si>
    <t>*63</t>
  </si>
  <si>
    <t>*64</t>
  </si>
  <si>
    <t>SQUADRATURA 9</t>
  </si>
  <si>
    <t>Risorse / Costituzione del fondo</t>
  </si>
  <si>
    <t>Impeghi / Importi erogati</t>
  </si>
  <si>
    <t>Risorse fisse aventi carattere di certezza e stabilità</t>
  </si>
  <si>
    <t>Fondo</t>
  </si>
  <si>
    <t>Natura</t>
  </si>
  <si>
    <t>Voce</t>
  </si>
  <si>
    <t>Dato</t>
  </si>
  <si>
    <t>INCONGRUENZA 15</t>
  </si>
  <si>
    <t>SCHEDA UNIFICATA EX ART. 40 BIS, COMMA 3 DEL D.LGS. N.165/2001:</t>
  </si>
  <si>
    <t>"SPECIFICHE INFORMAZIONI SULLA CONTRATTAZIONE INTEGRATIVA"</t>
  </si>
  <si>
    <t>INCONGRUENZA 16</t>
  </si>
  <si>
    <t>MACROCATEGORIA: PERSONALE NON DIRIGENTE</t>
  </si>
  <si>
    <t>Contatore</t>
  </si>
  <si>
    <t>GEN</t>
  </si>
  <si>
    <t>FONDO RELATIVO ALL'ANNO DI RILEVAZIONE / TEMPISTICA DELLA C.I.</t>
  </si>
  <si>
    <t>Cod_sez</t>
  </si>
  <si>
    <t>Cod_dom</t>
  </si>
  <si>
    <t>Tipo_dom</t>
  </si>
  <si>
    <t>FLAG</t>
  </si>
  <si>
    <t>DATE</t>
  </si>
  <si>
    <t>GEN195</t>
  </si>
  <si>
    <t>INT</t>
  </si>
  <si>
    <t>Annualità di ritardo nella certificazione del fondo/i contrattazione integrativa alla compilazione/rettifica della presente scheda (0=almeno costituzione fondo/i anno rilevazione certif.; 1=almeno costituzione fondo/i anno precedente certif. ecc.)</t>
  </si>
  <si>
    <t>PERC</t>
  </si>
  <si>
    <t>ORG</t>
  </si>
  <si>
    <t>ORGANIZZAZIONE E INCARICHI</t>
  </si>
  <si>
    <t>ORG145</t>
  </si>
  <si>
    <t>Numero di posizioni organizzative effettivamente coperte alla data del 31.12 dell'anno di rilevazione per la fascia più elevata</t>
  </si>
  <si>
    <t>ORG160</t>
  </si>
  <si>
    <t>Numero di posizioni organizzative effettivamente coperte alla data del 31.12 dell'anno di rilevazione per la fascia meno elevata</t>
  </si>
  <si>
    <t>ORG154</t>
  </si>
  <si>
    <t>Numero di posizioni organizzative effettivamente coperte alla data del 31.12 dell'anno di rilevazione per le restanti fasce</t>
  </si>
  <si>
    <t>ORG136</t>
  </si>
  <si>
    <t>Valore unitario su base annua della retribuzione di posizione previsto per la fascia più elevata</t>
  </si>
  <si>
    <t>ORG179</t>
  </si>
  <si>
    <t>Valore unitario su base annua della retribuzione di posizione previsto per la fascia meno elevata</t>
  </si>
  <si>
    <t>ORG161</t>
  </si>
  <si>
    <t>Valore unitario su base annua della retribuzione di posizione previsto per le restanti fasce (valore medio)</t>
  </si>
  <si>
    <t>PEO</t>
  </si>
  <si>
    <t>PEO188</t>
  </si>
  <si>
    <t>PEO119</t>
  </si>
  <si>
    <t>PEO266</t>
  </si>
  <si>
    <t>PRD</t>
  </si>
  <si>
    <t>PRODUTTIVITA' / RISULTATO</t>
  </si>
  <si>
    <t>CPL</t>
  </si>
  <si>
    <t>CPL125</t>
  </si>
  <si>
    <t>Viene effettuata la valutazione delle prestazioni e dei risultati dei dipendenti come richiesto dall'art. 135 del T.U.D.C. 13.12.2010 (S/N)?</t>
  </si>
  <si>
    <t>CPL147</t>
  </si>
  <si>
    <t>La valutazione delle prestazioni e dei risultati è effettuata in forma singola o associata?</t>
  </si>
  <si>
    <t>CPL313</t>
  </si>
  <si>
    <t>INF</t>
  </si>
  <si>
    <t>INFORMAZIONI / CHIARIMENTI</t>
  </si>
  <si>
    <t>INF209</t>
  </si>
  <si>
    <t>Informazioni/chiarimenti da parte dell'Organo di controllo (max 1.500 caratteri)</t>
  </si>
  <si>
    <t>INF127</t>
  </si>
  <si>
    <t>Informazioni/chiarimenti da parte dell'Amministrazione (max 1.500 caratteri)</t>
  </si>
  <si>
    <t>SC</t>
  </si>
  <si>
    <t>AP</t>
  </si>
  <si>
    <t>PRD331</t>
  </si>
  <si>
    <t>PRD332</t>
  </si>
  <si>
    <t>Importo totale del salario di risultato erogato a valere sul fondo dell'anno di rilevazione</t>
  </si>
  <si>
    <t>Importo totale del salario di risultato non erogato a seguito della valutazione non piena con riferimento al fondo dell'anno di rilevazione</t>
  </si>
  <si>
    <t>PERSONALE IN ASPETTATIVA</t>
  </si>
  <si>
    <t>R.I.A.</t>
  </si>
  <si>
    <t>A031</t>
  </si>
  <si>
    <t>A032</t>
  </si>
  <si>
    <t xml:space="preserve">STIPENDIO 
più I.I.S </t>
  </si>
  <si>
    <t>Personale in aspettativa (OUT)
(Tab 3)</t>
  </si>
  <si>
    <t>Nel caso in cui siano stati esternalizzati dei servizi, l'Ente ha adempiuto a quanto previsto dall'articolo 6-bis del d.lgs. 165/2001 come modificato dall'art. 4 c. 2 del d.lgs. 75/2017?</t>
  </si>
  <si>
    <t xml:space="preserve">Al 31.12 le funzioni di Direttore Generale erano svolte da:  </t>
  </si>
  <si>
    <t>*10</t>
  </si>
  <si>
    <t xml:space="preserve"> - Soggetto appositamente incaricato; </t>
  </si>
  <si>
    <t>*11</t>
  </si>
  <si>
    <t xml:space="preserve"> - Segretario comunale (art. 108 comma 4 d.lgs. 267/2000)</t>
  </si>
  <si>
    <t xml:space="preserve">L'Ente ha provveduto a reinternalizzare funzioni o servizi? </t>
  </si>
  <si>
    <t>In caso di risposta affermativa si passa alla sottodomanda:</t>
  </si>
  <si>
    <t>Quanti ex LSU/LPU/ASU sono stati stabilizzati (a tempo indeterminato) nell'anno di rilevazione?</t>
  </si>
  <si>
    <t>Quanti ex LSU/LPU/ASU sono stati contrattualizzati a tempo determinato nell'anno di rilevazione?</t>
  </si>
  <si>
    <t>Quanti ex LSU/LPU/ASU, già contrattualizzati a tempo determinato, hanno avuto proroga nell'anno di rilevazione?</t>
  </si>
  <si>
    <t>Qual è il valore massimo in percentuale del salario di risultato di cui all'art. 135 rispetto alla retribuzione di posizione per particolare professionalità/miglioramento dei servizi di cui agli artt. 174 e 175 del T.U.D.C. 13.12.2010?</t>
  </si>
  <si>
    <t>Decurtazioni</t>
  </si>
  <si>
    <t>F01P</t>
  </si>
  <si>
    <t>Totale Decurtazioni</t>
  </si>
  <si>
    <t>TOTALE RISORSE CERTIFICATE</t>
  </si>
  <si>
    <t>TOTALE IMPIEGHI EROGATI</t>
  </si>
  <si>
    <t>INCONGRUENZA 9</t>
  </si>
  <si>
    <t>U998</t>
  </si>
  <si>
    <t>GEN353</t>
  </si>
  <si>
    <t>GEN354</t>
  </si>
  <si>
    <t>GEN355</t>
  </si>
  <si>
    <t>IN 9</t>
  </si>
  <si>
    <t>LSU/LPU/ASU(*)</t>
  </si>
  <si>
    <t>A41</t>
  </si>
  <si>
    <t>Importo del limite di cui all'art. 1, comma 557-quater o art.1, comma 562 della legge n. 296/2006 o di analoghe disposizioni delle regioni e province autonome</t>
  </si>
  <si>
    <t>047IS3</t>
  </si>
  <si>
    <t>047IS2</t>
  </si>
  <si>
    <t>042CR1</t>
  </si>
  <si>
    <t>042CA0</t>
  </si>
  <si>
    <t>040CS1</t>
  </si>
  <si>
    <t>POSIZIONE ECONOMICA B2S</t>
  </si>
  <si>
    <t>033000</t>
  </si>
  <si>
    <t>034VF5</t>
  </si>
  <si>
    <t>032VF1</t>
  </si>
  <si>
    <t>Fondo progressione orizzontale</t>
  </si>
  <si>
    <t>F07J</t>
  </si>
  <si>
    <t>Art 155 c 2 TUDC - Alim FUA delega o trasf funz da Stato</t>
  </si>
  <si>
    <t>F07K</t>
  </si>
  <si>
    <t>F07L</t>
  </si>
  <si>
    <t>F07M</t>
  </si>
  <si>
    <t>Art 155 c 1 TUDC - Alim FUA Enti convenzioni segreteria</t>
  </si>
  <si>
    <t>F07N</t>
  </si>
  <si>
    <t>Art 155 c 3 TUDC - Alim FUA ec agg.ve art 4-5 L 111/2011</t>
  </si>
  <si>
    <t>F07O</t>
  </si>
  <si>
    <t>Art 155 c 4 TUDC - Alim FUA spec. disp. di legge</t>
  </si>
  <si>
    <t>F07P</t>
  </si>
  <si>
    <t>Art 143 c 3 TUDC - Alim da fondo progr anno prec</t>
  </si>
  <si>
    <t>F07Q</t>
  </si>
  <si>
    <t>Art 153 c 2 TUDC - Decurt FUA Enti minori corso d'anno</t>
  </si>
  <si>
    <t>F07R</t>
  </si>
  <si>
    <t>Art 40 c 3-q DLgs 165/2001 - Dec. anno per piani di recup.</t>
  </si>
  <si>
    <t>F01S</t>
  </si>
  <si>
    <t>Art 143 c 2 TUDC - Valore posiz 4^ e 5^ progr (storico)</t>
  </si>
  <si>
    <t>U03J</t>
  </si>
  <si>
    <t>Art 143 c 2 TUDC - Valore posiz 4^ e 5^ progr (anno rif.to)</t>
  </si>
  <si>
    <t>U03K</t>
  </si>
  <si>
    <t>Altri istituti non compresi fra i precedenti</t>
  </si>
  <si>
    <t>Fondo Unico Aziendale o di ambito (FUA)</t>
  </si>
  <si>
    <t>Art 154 c 1 L a) TUDC - Salario di risultato</t>
  </si>
  <si>
    <t>U03L</t>
  </si>
  <si>
    <t>U03M</t>
  </si>
  <si>
    <t>Art 154 c 1 L c) TUDC - Progetti di gruppo</t>
  </si>
  <si>
    <t>U03N</t>
  </si>
  <si>
    <t>Art 154 c 1 L d) TUDC - Attività part. esigenze servizio</t>
  </si>
  <si>
    <t>U03O</t>
  </si>
  <si>
    <t>Art 154 c 1 L e) TUDC - Part. ind. access. art. 162</t>
  </si>
  <si>
    <t>U03P</t>
  </si>
  <si>
    <t>Art 154 c 1 L f) TUDC - Indennità stato civile art. 18</t>
  </si>
  <si>
    <t>U03Q</t>
  </si>
  <si>
    <t>Totale Fondo Fondo Unico Aziendale o di ambito (FUA)</t>
  </si>
  <si>
    <t>Totale Fondo Unico Aziendale o di ambito (FUA)</t>
  </si>
  <si>
    <t>Ai fini della procedura selettiva per l'attribuzione delle PEO è stato osservato il requisito temporale previsto dall'art. 140, c. 5 del T.U.D.C. (S/N)?</t>
  </si>
  <si>
    <t>PEO394</t>
  </si>
  <si>
    <t>Licenziamenti disposti dall’ente</t>
  </si>
  <si>
    <t>*65</t>
  </si>
  <si>
    <t>L'Amministrazione ha individuato un responsabile della formazione del personale dipendente?</t>
  </si>
  <si>
    <t>*66</t>
  </si>
  <si>
    <t>È stato predisposto un piano di formazione?</t>
  </si>
  <si>
    <t>*67</t>
  </si>
  <si>
    <t>N. dipendenti che nell'anno di rilevazione hanno partecipato a corsi di formazione</t>
  </si>
  <si>
    <t>SE(SOMMA(F139:F148)=0;"RISPOSTA OBBLIGATORIA";"")</t>
  </si>
  <si>
    <t>Area tematica</t>
  </si>
  <si>
    <t>N. dipendenti</t>
  </si>
  <si>
    <t>69 Finanza, contabilità e tributi</t>
  </si>
  <si>
    <t>72 Innovazione digitale</t>
  </si>
  <si>
    <t>73 Patrimonio, investimenti, finanziamenti</t>
  </si>
  <si>
    <t>74 Appalti e contratti</t>
  </si>
  <si>
    <t>75 Personale</t>
  </si>
  <si>
    <t>76 Politiche sociali ed educative</t>
  </si>
  <si>
    <t>77 Attività economico produttive</t>
  </si>
  <si>
    <t>78 Soft skills (comunicazione, project management, informatica, lingue straniere...)</t>
  </si>
  <si>
    <t>*79</t>
  </si>
  <si>
    <t>SE(SOMMA(F152:F160)=0;"RISPOSTA OBBLIGATORIA";"")</t>
  </si>
  <si>
    <t>81 Docenti interni all'Amministrazione</t>
  </si>
  <si>
    <t>82 Soggetti privati</t>
  </si>
  <si>
    <t>83 Università</t>
  </si>
  <si>
    <t>84 SNA</t>
  </si>
  <si>
    <t>85 FormezPA</t>
  </si>
  <si>
    <t>86 IFEL-Fondazione ANCI</t>
  </si>
  <si>
    <t>87 Altri soggetti pubblici (regione, provincia, città metropolitana, ASL, ...)</t>
  </si>
  <si>
    <t>88 Ordini professionali</t>
  </si>
  <si>
    <t>89 Altro</t>
  </si>
  <si>
    <t>*90</t>
  </si>
  <si>
    <t>Gli interventi formativi sono stati prevalentemente determinati sulla base di:</t>
  </si>
  <si>
    <t>91 Indicazioni formulate dai responsabili di settore</t>
  </si>
  <si>
    <t>92 Un'analisi dei bisogni dell'organizzazione</t>
  </si>
  <si>
    <t>93 Un'analisi formalizzata delle competenze del personale</t>
  </si>
  <si>
    <t>94 Richieste dei dipendenti di volta in volta valutate</t>
  </si>
  <si>
    <t xml:space="preserve">95 Altro </t>
  </si>
  <si>
    <t>IN 17</t>
  </si>
  <si>
    <t>N. di corsi</t>
  </si>
  <si>
    <t>INDENNITA' PER SPECIFICHE RESPONSABILITA'</t>
  </si>
  <si>
    <t>INCENTIVI PER FUNZIONI TECNICHE</t>
  </si>
  <si>
    <t>INDENNITÀ ART. 42, COMMA 5-TER, D.LGS. 151/2001</t>
  </si>
  <si>
    <t xml:space="preserve">Indicare il numero di dioendenti posti in esenzione dal servizio per emergenza COVID-19 </t>
  </si>
  <si>
    <t>numero giorni</t>
  </si>
  <si>
    <t xml:space="preserve">Indicare il numero dei giorni concessi ai dipendenti posti in esenzione dal servizio per emergenza COVID-19 </t>
  </si>
  <si>
    <t>Ha rispettato l’equilibrio pluriennale di bilancio?</t>
  </si>
  <si>
    <t>Risorse a carico del bilancio</t>
  </si>
  <si>
    <t>Destinazioni erogate per prestazioni rese nell'anno di riferimento</t>
  </si>
  <si>
    <t>SQ9</t>
  </si>
  <si>
    <t>U449</t>
  </si>
  <si>
    <t>Totale Destinazioni erogate per prestazioni rese nell'anno di riferimento</t>
  </si>
  <si>
    <t>Totale Risorse a carico del Bilancio</t>
  </si>
  <si>
    <t>Totale posizione e risultato qualifica un. dirigenziale</t>
  </si>
  <si>
    <t>Art. 6 Ccrl 16-18 - magg sal risultato dip val più elevate</t>
  </si>
  <si>
    <t>Art 154 c 1 L b) TUDC - Particolari posizioni organizzative</t>
  </si>
  <si>
    <t>Art 155bis c 2 TUDC - Alim FUA esercizio associato funzioni</t>
  </si>
  <si>
    <t>Art 058 TUDC - Prestazioni di lavoro straordinario</t>
  </si>
  <si>
    <t>Art 059 TUDC - Prest str elett.le ev straord cal naturali</t>
  </si>
  <si>
    <t>Totale Lavoro Straordinario</t>
  </si>
  <si>
    <t>Risorse a carico del Bilancio</t>
  </si>
  <si>
    <t>Art 058 c 5 TUDC - Fondo lavoro straordinario</t>
  </si>
  <si>
    <t>Art 059 TUDC - Straord elett.le ev straord cal naturali</t>
  </si>
  <si>
    <t>SQUADRATURA 5</t>
  </si>
  <si>
    <t>MACROCATEGORIA: DIRIGENTI</t>
  </si>
  <si>
    <t>In caso di certificazione disgiunta: data di certificazione della sola costituzione del fondo/i specificamente riferita all'anno di rilevazione (art. 40-bis, c.1 del Dlgs 165/2001)</t>
  </si>
  <si>
    <t>In caso di certificazione disgiunta: data di certificazione del solo contratto integrativo economico specificamente riferito al fondo/i dell'anno di rilevazione, sulla base di certificazione costituzione fondo effettuata in precedenza (art. 40-bis, c.1 del Dlgs 165/2001)</t>
  </si>
  <si>
    <t>In caso di certificazione congiunta: data di certificazione tanto della costituzione del fondo che del contratto integrativo economico specificamente riferito al fondo/i dell'anno di rilevazione (art. 40-bis, c.1 del Dlgs 165/2001)</t>
  </si>
  <si>
    <t>U06K</t>
  </si>
  <si>
    <t>U06L</t>
  </si>
  <si>
    <t>F16Z</t>
  </si>
  <si>
    <t>F00O</t>
  </si>
  <si>
    <t>F01O</t>
  </si>
  <si>
    <t>F17J</t>
  </si>
  <si>
    <t>U06M</t>
  </si>
  <si>
    <t>F17K</t>
  </si>
  <si>
    <t>Straordinario (bilancio)</t>
  </si>
  <si>
    <t>Tavola di controllo del rispetto del limite 2016 di cui all'art. 23, comma 2 del decreto legislativo n. 75/2017</t>
  </si>
  <si>
    <t>SQUADRATURA 6</t>
  </si>
  <si>
    <t>Personale
non
dirigente</t>
  </si>
  <si>
    <t>a.</t>
  </si>
  <si>
    <t>Totale risorse tabella 15</t>
  </si>
  <si>
    <t>b.</t>
  </si>
  <si>
    <r>
      <t>Totale voci non rilevanti ai fini della verifica del limite 2016</t>
    </r>
    <r>
      <rPr>
        <vertAlign val="superscript"/>
        <sz val="8"/>
        <rFont val="Arial"/>
        <family val="2"/>
      </rPr>
      <t xml:space="preserve"> (*)</t>
    </r>
  </si>
  <si>
    <t>c.</t>
  </si>
  <si>
    <t>Totale risorse soggette alla verifica del limite (a-b)</t>
  </si>
  <si>
    <t>d.</t>
  </si>
  <si>
    <r>
      <t>Limite 2016 di cui all'articolo 23, comma 2 del DLgs 75/2017</t>
    </r>
    <r>
      <rPr>
        <vertAlign val="superscript"/>
        <sz val="8"/>
        <rFont val="Arial"/>
        <family val="2"/>
      </rPr>
      <t xml:space="preserve"> (**)</t>
    </r>
  </si>
  <si>
    <t>e.</t>
  </si>
  <si>
    <t>Tavola di congruenza delle  voci non soggette alla verifica del limite 2016 di cui all'articolo 23,</t>
  </si>
  <si>
    <t>comma 2, del decreto legislativo n. 75/2017 (schede SICI e tabelle 15)</t>
  </si>
  <si>
    <t>Totale non soggetto a verifica scheda SICI (LEG398)</t>
  </si>
  <si>
    <t>Differenza (a - b)</t>
  </si>
  <si>
    <t>NON OPERATIVA</t>
  </si>
  <si>
    <t>Totale non soggetto a verifica Tabella 15</t>
  </si>
  <si>
    <t>POSIZIONE ECONOMICA B3  VIGILE DEL FUOCO &gt; 5 ANNI</t>
  </si>
  <si>
    <t>POSIZIONE ECONOMICA B2  VIGILE DEL FUOCO</t>
  </si>
  <si>
    <t>Art 020 TU 5-10-11 - Ris incarichi aggiuntivi</t>
  </si>
  <si>
    <t>F17Z</t>
  </si>
  <si>
    <t>RETRIBUZIONE AGGIUNTIVA PER SEDI CONVENZIONATE</t>
  </si>
  <si>
    <t>I223</t>
  </si>
  <si>
    <t>S740</t>
  </si>
  <si>
    <t>Cod Macro</t>
  </si>
  <si>
    <t>Dimissioni con diritto a pensione</t>
  </si>
  <si>
    <t>DIRITTI DI ROGITO E INDENNITÀ DI SCAVALCO</t>
  </si>
  <si>
    <r>
      <t xml:space="preserve">L’ente fa parte di una segreteria convenzionata attiva al 31.12? 
</t>
    </r>
    <r>
      <rPr>
        <b/>
        <i/>
        <sz val="11"/>
        <rFont val="Arial"/>
        <family val="2"/>
      </rPr>
      <t xml:space="preserve">(In caso di risposta affermativa si passa alle sottodomande 32 e 33) </t>
    </r>
  </si>
  <si>
    <t xml:space="preserve">% di convenzione stabilita </t>
  </si>
  <si>
    <t>L'ente è titolare (Capofila) della segreteria convenzionata al 31.12?</t>
  </si>
  <si>
    <t>CAPOFILA</t>
  </si>
  <si>
    <r>
      <t xml:space="preserve">Ente capofila della segreteria convenzionata al 31.12:
</t>
    </r>
    <r>
      <rPr>
        <b/>
        <i/>
        <sz val="9"/>
        <rFont val="Arial"/>
        <family val="2"/>
      </rPr>
      <t xml:space="preserve">               Inserire il codice dell'Ente Capofila 
      (vedi ‘LISTA ISTITUZIONI’ scaricata con il KIT)</t>
    </r>
  </si>
  <si>
    <t>SEGNALAZIONE - Nuovo controllo</t>
  </si>
  <si>
    <t>MACRO CATEGO RIA</t>
  </si>
  <si>
    <t>Altre risorse non comprese fra le precedenti</t>
  </si>
  <si>
    <t>Altre decurtazioni non comprese fra le precedenti</t>
  </si>
  <si>
    <t>x</t>
  </si>
  <si>
    <t>Amministrazione nel suo complesso</t>
  </si>
  <si>
    <t>Eventuali risorse tabella 15 in eccesso al limite (c - d)</t>
  </si>
  <si>
    <t>Personale non dirigente</t>
  </si>
  <si>
    <t>INCONGRUENZA 3</t>
  </si>
  <si>
    <t>Tabella 13 - Totale retribuzione di posizione cod. I207 (senza 13ma)</t>
  </si>
  <si>
    <r>
      <t>Tabella 13 - Totale retribuzione di posizione (con 13ma)</t>
    </r>
    <r>
      <rPr>
        <vertAlign val="superscript"/>
        <sz val="8"/>
        <rFont val="Arial"/>
        <family val="2"/>
      </rPr>
      <t xml:space="preserve"> (*)</t>
    </r>
  </si>
  <si>
    <t>Tabella 15 - Codice retribuzione macrocategoria di riferimento</t>
  </si>
  <si>
    <t>Tabella 15 - Retribuzione di posizione di competenza dell'anno di rilevazione</t>
  </si>
  <si>
    <t>Differenza T15 - T13 in valore assoluto (c - b)</t>
  </si>
  <si>
    <t>Differenza T15 - T13 in % (d / b x 100)</t>
  </si>
  <si>
    <t>Scheda SICI - n. posizioni fascia più elevata</t>
  </si>
  <si>
    <t>Scheda SICI - valore medio annuo retribuzione di posizione fascia più elevata</t>
  </si>
  <si>
    <t>Scheda SICI - n. posizioni fascia meno elevata</t>
  </si>
  <si>
    <t>Scheda SICI - valore medio annuo retribuzione di posizione fascia meno elevata</t>
  </si>
  <si>
    <t>Scheda SICI - n. posizioni restanti fasce</t>
  </si>
  <si>
    <t>Scheda SICI - valore medio annuo retribuzione di posizione restanti fasce</t>
  </si>
  <si>
    <t>Scheda SICI - n. posizioni organizzative in convenzione</t>
  </si>
  <si>
    <t>Scheda SICI - valore medio annuo retribuzione di posizione P.O. in convenzione</t>
  </si>
  <si>
    <t>f.</t>
  </si>
  <si>
    <r>
      <t>Scheda SICI retribuzione totale</t>
    </r>
    <r>
      <rPr>
        <vertAlign val="superscript"/>
        <sz val="8"/>
        <rFont val="Arial"/>
        <family val="2"/>
      </rPr>
      <t xml:space="preserve"> (**)</t>
    </r>
  </si>
  <si>
    <t>g.</t>
  </si>
  <si>
    <t>Differenza SICI - T13 in valore assoluto (k - b)</t>
  </si>
  <si>
    <t>h.</t>
  </si>
  <si>
    <t>Differenza SICI - T13 in % (l / b x 100)</t>
  </si>
  <si>
    <r>
      <rPr>
        <vertAlign val="superscript"/>
        <sz val="8"/>
        <rFont val="Arial"/>
        <family val="2"/>
      </rPr>
      <t xml:space="preserve">(**) </t>
    </r>
    <r>
      <rPr>
        <sz val="8"/>
        <rFont val="Arial"/>
        <family val="2"/>
      </rPr>
      <t xml:space="preserve"> Il calcolo è effettuato sommando il numero di posizioni di ciascuna "fascia" per il relativo valore medio.</t>
    </r>
  </si>
  <si>
    <t>(eventuale) Numero di posizioni organizzative in convenzione ex art. 155bis, comma 2  TUDC coperte alla data del 31.12 dell'anno di rilevazione</t>
  </si>
  <si>
    <t>(eventuale) Valore unitario su base annua della retribuzione di posizione previsto per le P.O. in convenzione (quota a carico dell'ente, valore medio in euro)</t>
  </si>
  <si>
    <t>Tavola di congruenza retribuzione di posizione esposta in tabella 13 (voce I207) con l'analoga voce esposta in tabella 15 e scheda SICI</t>
  </si>
  <si>
    <r>
      <rPr>
        <vertAlign val="superscript"/>
        <sz val="8"/>
        <rFont val="Arial"/>
        <family val="2"/>
      </rPr>
      <t xml:space="preserve">(*) </t>
    </r>
    <r>
      <rPr>
        <sz val="8"/>
        <rFont val="Arial"/>
        <family val="2"/>
      </rPr>
      <t xml:space="preserve"> Il calcolo è effettuato dividendo convenzionalmente per 12 il valore della retribuzione di posizione esposto in tabella 13 (valore mensile) e moltiplicando quindi per 13 (valore annuale</t>
    </r>
  </si>
  <si>
    <t xml:space="preserve">    compresa tredicesima).</t>
  </si>
  <si>
    <t>ORG441</t>
  </si>
  <si>
    <t>ORG442</t>
  </si>
  <si>
    <t>Quanti  LSU/LPU sono stati stabilizzati in soprannumero in deroga alla dotazione organica e al piano del fabbisogno di personale, ai sensi dell’art. 1 c. 495 della L. 160/2019?</t>
  </si>
  <si>
    <t>Non operativa</t>
  </si>
  <si>
    <t>SEGRETARIO GENERALE CCIAA</t>
  </si>
  <si>
    <t>0D0104</t>
  </si>
  <si>
    <r>
      <t>Costituzione fondi per il trattamento accessorio</t>
    </r>
    <r>
      <rPr>
        <vertAlign val="superscript"/>
        <sz val="10"/>
        <rFont val="Arial"/>
        <family val="2"/>
      </rPr>
      <t xml:space="preserve"> (1)</t>
    </r>
  </si>
  <si>
    <r>
      <t>Destinazione fondi per il trattamento accessorio</t>
    </r>
    <r>
      <rPr>
        <vertAlign val="superscript"/>
        <sz val="10"/>
        <rFont val="Arial"/>
        <family val="2"/>
      </rPr>
      <t xml:space="preserve"> (1)</t>
    </r>
  </si>
  <si>
    <r>
      <t>Retribuzione di risultato qualifica unica dirigenziale</t>
    </r>
    <r>
      <rPr>
        <vertAlign val="superscript"/>
        <sz val="8"/>
        <rFont val="Arial"/>
        <family val="2"/>
      </rPr>
      <t xml:space="preserve"> (2)</t>
    </r>
  </si>
  <si>
    <t>SQUADRATURA 8</t>
  </si>
  <si>
    <r>
      <rPr>
        <vertAlign val="superscript"/>
        <sz val="8"/>
        <rFont val="Arial"/>
        <family val="2"/>
      </rPr>
      <t xml:space="preserve">(1) </t>
    </r>
    <r>
      <rPr>
        <sz val="8"/>
        <rFont val="Arial"/>
        <family val="2"/>
      </rPr>
      <t>Tutti gli importi vanno indicati in euro e al netto degli oneri sociali (contributi ed IRAP) a carico del datore di lavoro.</t>
    </r>
  </si>
  <si>
    <r>
      <rPr>
        <vertAlign val="superscript"/>
        <sz val="8"/>
        <rFont val="Arial"/>
        <family val="2"/>
      </rPr>
      <t xml:space="preserve">(2) </t>
    </r>
    <r>
      <rPr>
        <sz val="8"/>
        <rFont val="Arial"/>
        <family val="2"/>
      </rPr>
      <t>Compresivo dei valori afferenti ove presente il segretario degli enti locali (appartenente alla qualifica unica dirigenziale secondo le indicazioni dell’articolo 1, comma 1 della legge regionale n. 46/1998,</t>
    </r>
  </si>
  <si>
    <r>
      <rPr>
        <vertAlign val="superscript"/>
        <sz val="8"/>
        <rFont val="Arial"/>
        <family val="2"/>
      </rPr>
      <t xml:space="preserve">(1)  </t>
    </r>
    <r>
      <rPr>
        <sz val="8"/>
        <rFont val="Arial"/>
        <family val="2"/>
      </rPr>
      <t>Tutti gli importi vanno indicati in euro e al netto degli oneri sociali (contributi ed IRAP) a carico del datore di lavoro.</t>
    </r>
  </si>
  <si>
    <r>
      <t>NON OPERATIVA</t>
    </r>
    <r>
      <rPr>
        <vertAlign val="superscript"/>
        <sz val="12"/>
        <rFont val="Arial"/>
        <family val="2"/>
      </rPr>
      <t xml:space="preserve"> (1)</t>
    </r>
  </si>
  <si>
    <r>
      <t>(1)</t>
    </r>
    <r>
      <rPr>
        <sz val="9"/>
        <rFont val="Arial"/>
        <family val="2"/>
      </rPr>
      <t xml:space="preserve"> Cfr. Sentenza Corte Costituzionale n. 5/2022.</t>
    </r>
  </si>
  <si>
    <t xml:space="preserve">    come modificato dall’articolo 1, comma 1 della legge regionale n. 14/2010).</t>
  </si>
  <si>
    <t>Il personale a Tempo determinato è cessato il 31/12?</t>
  </si>
  <si>
    <t>Smart working (**)
Personale indicato in T1</t>
  </si>
  <si>
    <t>Telelavoro (**)
Personale indicato in T1</t>
  </si>
  <si>
    <t>Coworking (**)
Personale indicato in T1</t>
  </si>
  <si>
    <t>Lavoro Agile (**)</t>
  </si>
  <si>
    <t>Telelavoro (**)</t>
  </si>
  <si>
    <t>Coworking (**)</t>
  </si>
  <si>
    <t>Personale soggetto a turnazione (**)</t>
  </si>
  <si>
    <t>Personale soggetto a reperibilità (**)</t>
  </si>
  <si>
    <t>C28</t>
  </si>
  <si>
    <t>Dimissioni senza diritto a pensione</t>
  </si>
  <si>
    <t>Personale stabilizzato ex Art. 35, c.3-Bis, DLGS 165/01</t>
  </si>
  <si>
    <t>Personale stabilizzato ex art. 20 D.Lgs.75/2017</t>
  </si>
  <si>
    <t>Z02</t>
  </si>
  <si>
    <t>È stato adottato il Piano Integrato di attività e organizzazione (PIAO) previsto dall'art. 6 co. 1 del DL 80/2021 convertito dalla L. 113/2021 e ss.mm.ii?</t>
  </si>
  <si>
    <t>E’ stato adottato il piano annuale delle assunzioni previsto o di analoghe disposizioni delle Regioni e Province Autonome?</t>
  </si>
  <si>
    <t>*9</t>
  </si>
  <si>
    <t>Numero di unità di personale assunte come stagionali a progetto.</t>
  </si>
  <si>
    <t>L’Ente ha provveduto a reinternalizzare funzioni o servizi?</t>
  </si>
  <si>
    <t>Ha riassorbito il personale già dipendente di amministrazioni pubbliche secondo quanto previsto dall’art. 19 c. 8 del dlgs. n. 175/2016?</t>
  </si>
  <si>
    <t>L’Ente ha proceduto alla revisione annuale delle partecipazione societarie TUSP n. 175/2016?</t>
  </si>
  <si>
    <t>L’Ente gestisce funzioni fondamentali in forma associata ai sensi dell’art.14, comma 28, L.122/2010 e s.m. ?</t>
  </si>
  <si>
    <t>Ai sensi dell'art. 33 d.l. 34/2019 sulle assunzioni, rispetto alla pregressa norma, sono aumentate le capacità assunzionali dei Comuni-DM 17.3.2020- delle Province e Città metropolitane-DM 11.1.2022?</t>
  </si>
  <si>
    <t>70 Anagrafe</t>
  </si>
  <si>
    <t>Indicare il numero di corsi di formazione ai quali hanno partecipato dipendenti nell'anno di rilevazione per tipologia di ente erogante</t>
  </si>
  <si>
    <t>*96</t>
  </si>
  <si>
    <t>Indicare il numero totale di dipendenti dell'amministrazione che hanno partecipato nell’anno di rilevazione a corsi di formazione.</t>
  </si>
  <si>
    <t>In presenza</t>
  </si>
  <si>
    <t>On line</t>
  </si>
  <si>
    <t>*97</t>
  </si>
  <si>
    <t>Nell'anno di rilevazione, i dipendenti hanno partecipato a corsi di formazione erogati PREVALENTEMENTE</t>
  </si>
  <si>
    <t>*100</t>
  </si>
  <si>
    <t>Personale destinatario della sezione della POLIZIA LOCALE (art. 95 e segg. del CCNL Funzioni locali del 16.11.2022)</t>
  </si>
  <si>
    <t>101 Numero di dirigenti</t>
  </si>
  <si>
    <t>102 Numero appartenenti alla categoria D</t>
  </si>
  <si>
    <t>103 Numero appartenenti alla categoria C</t>
  </si>
  <si>
    <t>*104</t>
  </si>
  <si>
    <t>Personale destinatario della sezione del PERSONALE ISCRITTO AD ORDINI O ALBI PROFESSIONALI  (art. 101 e segg. del CCNL Funzioni locali del 16.11.2022)</t>
  </si>
  <si>
    <r>
      <t>105</t>
    </r>
    <r>
      <rPr>
        <sz val="7"/>
        <rFont val="Times New Roman"/>
        <family val="1"/>
      </rPr>
      <t xml:space="preserve">   </t>
    </r>
    <r>
      <rPr>
        <i/>
        <sz val="11"/>
        <rFont val="Calibri"/>
        <family val="2"/>
      </rPr>
      <t>Numero di dirigenti</t>
    </r>
  </si>
  <si>
    <r>
      <t>106</t>
    </r>
    <r>
      <rPr>
        <sz val="7"/>
        <rFont val="Times New Roman"/>
        <family val="1"/>
      </rPr>
      <t xml:space="preserve">   </t>
    </r>
    <r>
      <rPr>
        <i/>
        <sz val="11"/>
        <rFont val="Calibri"/>
        <family val="2"/>
      </rPr>
      <t>Numero appartenenti alla categoria D</t>
    </r>
  </si>
  <si>
    <r>
      <t>107</t>
    </r>
    <r>
      <rPr>
        <sz val="7"/>
        <rFont val="Times New Roman"/>
        <family val="1"/>
      </rPr>
      <t xml:space="preserve">   </t>
    </r>
    <r>
      <rPr>
        <i/>
        <sz val="11"/>
        <rFont val="Calibri"/>
        <family val="2"/>
      </rPr>
      <t>Numero appartenenti alla categoria C</t>
    </r>
  </si>
  <si>
    <t>*108</t>
  </si>
  <si>
    <t>Personale destinatario della sezione del PERSONALE EDUCATIVO E SCOLASTICO  (art. 85 e segg. del CCNL Funzioni locali del 16.11.2022)</t>
  </si>
  <si>
    <r>
      <t>109</t>
    </r>
    <r>
      <rPr>
        <sz val="7"/>
        <rFont val="Times New Roman"/>
        <family val="1"/>
      </rPr>
      <t xml:space="preserve">   </t>
    </r>
    <r>
      <rPr>
        <i/>
        <sz val="11"/>
        <rFont val="Calibri"/>
        <family val="2"/>
      </rPr>
      <t>Numero appartenenti alla categoria D</t>
    </r>
  </si>
  <si>
    <r>
      <t>110</t>
    </r>
    <r>
      <rPr>
        <sz val="7"/>
        <rFont val="Times New Roman"/>
        <family val="1"/>
      </rPr>
      <t xml:space="preserve">   </t>
    </r>
    <r>
      <rPr>
        <i/>
        <sz val="11"/>
        <rFont val="Calibri"/>
        <family val="2"/>
      </rPr>
      <t>Numero appartenenti alla categoria C</t>
    </r>
  </si>
  <si>
    <t>Per il personale Educativo e scolastico vanno indicati:</t>
  </si>
  <si>
    <r>
      <t>111</t>
    </r>
    <r>
      <rPr>
        <sz val="7"/>
        <rFont val="Times New Roman"/>
        <family val="1"/>
      </rPr>
      <t xml:space="preserve">   </t>
    </r>
    <r>
      <rPr>
        <i/>
        <sz val="11"/>
        <rFont val="Calibri"/>
        <family val="2"/>
      </rPr>
      <t>Numero di personale in servizio presso gli asili nido</t>
    </r>
  </si>
  <si>
    <r>
      <t>112</t>
    </r>
    <r>
      <rPr>
        <sz val="7"/>
        <rFont val="Times New Roman"/>
        <family val="1"/>
      </rPr>
      <t xml:space="preserve">   </t>
    </r>
    <r>
      <rPr>
        <i/>
        <sz val="11"/>
        <rFont val="Calibri"/>
        <family val="2"/>
      </rPr>
      <t>Numero di personale in servizio presso le scuole materne</t>
    </r>
  </si>
  <si>
    <r>
      <t>113</t>
    </r>
    <r>
      <rPr>
        <sz val="7"/>
        <rFont val="Times New Roman"/>
        <family val="1"/>
      </rPr>
      <t xml:space="preserve">   </t>
    </r>
    <r>
      <rPr>
        <i/>
        <sz val="11"/>
        <rFont val="Calibri"/>
        <family val="2"/>
      </rPr>
      <t>Numero di personale in servizio presso i centri di formazione professionale</t>
    </r>
  </si>
  <si>
    <t>*114</t>
  </si>
  <si>
    <t>Numero di personale della Polizia locale che ha ricevuto un giudizio di inidoneità alla mansione</t>
  </si>
  <si>
    <t>*115</t>
  </si>
  <si>
    <t>Numero di personale Educativo e scolastico che ha ricevuto un giudizio di inidoneità alla mansione</t>
  </si>
  <si>
    <t>È stato adottato il Piano Integrato di attività e organizzazione (PIAO) previsto dal dall'art. 6 co. 1 del DL 80/2021 convertito dalla L. 113/2021 e ss.mm.ii?</t>
  </si>
  <si>
    <t>Per le Unioni e le Comunità montane è stato rispettato l’art. 1 c. 562, l.f. per l’anno 2007 o l’art. 1, comma 229, l.s. 2016 o analoga disposizione delle Regioni e Province Autonome?</t>
  </si>
  <si>
    <t>Personale inserito in SI_1A</t>
  </si>
  <si>
    <t>Giorni inserito in Tabella 11</t>
  </si>
  <si>
    <t>SQ 10</t>
  </si>
  <si>
    <t>Quante persone sono state assunte nell’anno a tempo determinato (rilevate come uomo/anno nella tabella 2) con le risorse del PNRR?</t>
  </si>
  <si>
    <t>Quante persone sono state assunte nell’anno con altre forme flessibili di lavoro (ex interinali, lsu, formazione lavoro, rilevate come uomo/anno nella tabella 2) con le risorse del PNRR?</t>
  </si>
  <si>
    <t>LAVORO A DISTANZA</t>
  </si>
  <si>
    <t>POSIZIONE ECONOMICA D  ISPETTORE ANTINCENDI DIRETTORE-VVFF</t>
  </si>
  <si>
    <t>POSIZIONE ECONOMICA D  ISPETTORE ANTINCENDI  VVFF</t>
  </si>
  <si>
    <t>POSIZIONE ECONOMICA C2  CAPO REPARTO  VVFF</t>
  </si>
  <si>
    <t>POSIZIONE ECONOMICA C2  COLLAB. TECNICO ANTINCENDI  VVFF</t>
  </si>
  <si>
    <t>POSIZIONE ECONOMICA C1  CAPO SQUADRA  VVFF</t>
  </si>
  <si>
    <t>POS. EC. B3-GUARDIA  FORESTALE 5 A.</t>
  </si>
  <si>
    <t>POS. EC. B2-GUARDIA  FORESTALE</t>
  </si>
  <si>
    <t>Indicare il numero dei contratti di collaborazioni professionali.</t>
  </si>
  <si>
    <t>Indicare il numero degli incarichi di studio, ricerca e consulenza.</t>
  </si>
  <si>
    <t>Quante persone sono state impiegate nell'anno (TEMPO DETER., Collaborazioni Professionali, INCARICHI O ALTRI TIPI DI LAV. FLESSIBILE) il cui costo è totalmente sostenutocon finanziamenti esterni dellU.E. o di privati?</t>
  </si>
  <si>
    <t xml:space="preserve">Unità di pers. est. all'istituzione, in posizione di comando, distacco, fuori ruolo, esperti, consulenti o collaborazioni professionali assegnate agli uffici di diretta collaborazione con gli organi di indirizzo politico  </t>
  </si>
  <si>
    <t>Spesa sostenuta per il persoanale esterno all'amministrazione, in posizione di comando, distacco, fuori ruolo, esperti, consulenti e collaborazioni professionali assegnati agli uffici di diretta collaborazione con gli organi di indirizzo politico</t>
  </si>
  <si>
    <t>Personale con contratti di Collaborazioni Professionali</t>
  </si>
  <si>
    <t>PROGRESSIONE CLASSI E SCATTI / FASCE / DIFFERENZIALI STIPENDIALI</t>
  </si>
  <si>
    <t>L111</t>
  </si>
  <si>
    <t>L112</t>
  </si>
  <si>
    <t xml:space="preserve">CONTRATTI DI COLLABORAZIONE PROFESSIONALE </t>
  </si>
  <si>
    <t xml:space="preserve">INCARICHI DI STUDIO/RICERCA/CONSULENZA </t>
  </si>
  <si>
    <t>CONTRATTI DI COLLABORAZIONE PROFESSIONALE</t>
  </si>
  <si>
    <t>INCARICHI DI STUDIO/RICERCA/CONSULENZA</t>
  </si>
  <si>
    <t>Controllo di coerenza tra il personale in Formazione dichiarato nella SI_1A ed le assenze per formazione al 31.12 rilevate in Tabella 11 (Squadratura 7)</t>
  </si>
  <si>
    <t>F29O</t>
  </si>
  <si>
    <r>
      <t xml:space="preserve">Art 062 c 3 TU 5-10-11 - Econ art 16 cc 4 e 5 DL 98/2011 </t>
    </r>
    <r>
      <rPr>
        <vertAlign val="superscript"/>
        <sz val="8"/>
        <rFont val="Arial"/>
        <family val="2"/>
      </rPr>
      <t>(3)</t>
    </r>
  </si>
  <si>
    <t>U07W</t>
  </si>
  <si>
    <r>
      <t>PROGRESSIONI ECONOMICHE ALL'INTERNO DELLE AREE A VALERE SUL FONDO DELL'ANNO DI RILEVAZIONE</t>
    </r>
    <r>
      <rPr>
        <vertAlign val="superscript"/>
        <sz val="13"/>
        <rFont val="Arial"/>
        <family val="2"/>
      </rPr>
      <t xml:space="preserve"> (1)</t>
    </r>
  </si>
  <si>
    <t>PEO483</t>
  </si>
  <si>
    <t>Numero dipendenti che hanno i requisiti per partecipare alle progressioni economiche all'interno delle aree a valere sul fondo dell'anno di rilevazione</t>
  </si>
  <si>
    <t>Numero totale delle progressioni economiche all'interno delle aree effettuate a valere sul fondo dell'anno di rilevazione</t>
  </si>
  <si>
    <t>Le progressioni economiche all'interno delle aree dell'anno di rilevazione sono riferite ad un numero limitato di dipendenti (massimo 50% degli aventi diritto) ed operate con carattere di selettività ex art. 23 c. 2 del DLgs 150/2009 (S/N)?</t>
  </si>
  <si>
    <t>Le progressioni economiche all'interno delle aree riferite all'anno di rilevazione hanno rispettato il principio di non retrodatazione oltre il 1 gennaio dell'anno di conclusione del procedimento (S/N)?</t>
  </si>
  <si>
    <t>SQ 8</t>
  </si>
  <si>
    <r>
      <t xml:space="preserve">SQ 7 </t>
    </r>
    <r>
      <rPr>
        <sz val="8"/>
        <color theme="0"/>
        <rFont val="Arial"/>
        <family val="2"/>
      </rPr>
      <t>(1)</t>
    </r>
  </si>
  <si>
    <r>
      <rPr>
        <vertAlign val="superscript"/>
        <sz val="11"/>
        <rFont val="Arial"/>
        <family val="2"/>
      </rPr>
      <t>(1)</t>
    </r>
    <r>
      <rPr>
        <sz val="11"/>
        <rFont val="Arial"/>
        <family val="2"/>
      </rPr>
      <t xml:space="preserve"> Ogni riferimento alle "aree" è da intendersi alle "categorie" così come individuate dai Ccrl Valle d'Aosta.</t>
    </r>
  </si>
  <si>
    <r>
      <t xml:space="preserve">Art 141 TUDC - Alim proporz dip 31.12 anno prec. </t>
    </r>
    <r>
      <rPr>
        <vertAlign val="superscript"/>
        <sz val="8"/>
        <rFont val="Arial"/>
        <family val="2"/>
      </rPr>
      <t>(2)</t>
    </r>
  </si>
  <si>
    <r>
      <t xml:space="preserve">Art 154 c 1 L g) TUDC - Ind lavori somma urg e amm diretta </t>
    </r>
    <r>
      <rPr>
        <vertAlign val="superscript"/>
        <sz val="8"/>
        <rFont val="Arial"/>
        <family val="2"/>
      </rPr>
      <t>(4)</t>
    </r>
  </si>
  <si>
    <r>
      <rPr>
        <vertAlign val="superscript"/>
        <sz val="8"/>
        <rFont val="Arial"/>
        <family val="2"/>
      </rPr>
      <t xml:space="preserve">(2)  </t>
    </r>
    <r>
      <rPr>
        <sz val="8"/>
        <rFont val="Arial"/>
        <family val="2"/>
      </rPr>
      <t>Secondo le indicazioni dei commi 1 e 2 dell'art. 141 del TUDC del 13.12.2010,come sostituiti dall'art. 3 del Ccrl del 31.05.2023.</t>
    </r>
  </si>
  <si>
    <r>
      <rPr>
        <vertAlign val="superscript"/>
        <sz val="8"/>
        <rFont val="Arial"/>
        <family val="2"/>
      </rPr>
      <t xml:space="preserve">(4)  </t>
    </r>
    <r>
      <rPr>
        <sz val="8"/>
        <rFont val="Arial"/>
        <family val="2"/>
      </rPr>
      <t>Cosi come previsto dall'art. 21 del Ccrl del 31.05.2023 che modifica l'art. 154 del Ccrl del 31.05.2023.</t>
    </r>
  </si>
  <si>
    <r>
      <t xml:space="preserve">Art 062 c 1 L g TU 5-10-11 - Ris disp retrib risultato 25% </t>
    </r>
    <r>
      <rPr>
        <vertAlign val="superscript"/>
        <sz val="8"/>
        <rFont val="Arial"/>
        <family val="2"/>
      </rPr>
      <t>(3)</t>
    </r>
  </si>
  <si>
    <r>
      <rPr>
        <vertAlign val="superscript"/>
        <sz val="8"/>
        <rFont val="Arial"/>
        <family val="2"/>
      </rPr>
      <t>(3)</t>
    </r>
    <r>
      <rPr>
        <sz val="8"/>
        <rFont val="Arial"/>
        <family val="2"/>
      </rPr>
      <t xml:space="preserve"> Articolo 27 dell' Accordo Collettivo Regionale di lavoro del 21.12.2023.</t>
    </r>
  </si>
  <si>
    <r>
      <rPr>
        <vertAlign val="superscript"/>
        <sz val="8"/>
        <rFont val="Arial"/>
        <family val="2"/>
      </rPr>
      <t>(4)</t>
    </r>
    <r>
      <rPr>
        <sz val="8"/>
        <rFont val="Arial"/>
        <family val="2"/>
      </rPr>
      <t xml:space="preserve"> Comprensiva degli incrementi per incarichi aggiuntivi.</t>
    </r>
  </si>
  <si>
    <t>con quante persone sono stati sottoscritti contratti di collaborazione professionale e incarichi nell'anno con le risorse del pnrr?</t>
  </si>
  <si>
    <t>XX</t>
  </si>
  <si>
    <t>M05</t>
  </si>
  <si>
    <t>ASSENZE PER MALATTIA RETRIBUITE
SOGGETTE A TRATTENUTA</t>
  </si>
  <si>
    <t>ASSENZE PER MALATTIA RETRIBUITE 
NON
SOGGETTE A TRATTENUTA</t>
  </si>
  <si>
    <t>M06</t>
  </si>
  <si>
    <t>ISPETTORE FORESTALE C21F</t>
  </si>
  <si>
    <t>SOVRAINTENDENTE C1F</t>
  </si>
  <si>
    <t>Indicare il numero delle unita rilevate in tabella 1 che risultavano titolari di permessi per legge n. 104/92.</t>
  </si>
  <si>
    <t>Indicare il numero delle unita rilevate in tabella 1 che risultavano titolari di permessi ai sensi dell'art. 42, c.5 D.lgs.151/2001.</t>
  </si>
  <si>
    <r>
      <t xml:space="preserve">Retribuzione di risultato </t>
    </r>
    <r>
      <rPr>
        <vertAlign val="superscript"/>
        <sz val="8"/>
        <rFont val="Arial"/>
        <family val="2"/>
      </rPr>
      <t>(4)</t>
    </r>
  </si>
  <si>
    <r>
      <t xml:space="preserve">Art 153 TUDC - Alim FUA proporz dip 31.12 anno prec </t>
    </r>
    <r>
      <rPr>
        <vertAlign val="superscript"/>
        <sz val="8"/>
        <rFont val="Arial"/>
        <family val="2"/>
      </rPr>
      <t>(3)</t>
    </r>
  </si>
  <si>
    <r>
      <t xml:space="preserve">Art 153 TUDC - Alim FUA Enti minori corso d'anno </t>
    </r>
    <r>
      <rPr>
        <vertAlign val="superscript"/>
        <sz val="8"/>
        <rFont val="Arial"/>
        <family val="2"/>
      </rPr>
      <t>(3)</t>
    </r>
  </si>
  <si>
    <r>
      <rPr>
        <vertAlign val="superscript"/>
        <sz val="8"/>
        <rFont val="Arial"/>
        <family val="2"/>
      </rPr>
      <t xml:space="preserve">(3)  </t>
    </r>
    <r>
      <rPr>
        <sz val="8"/>
        <rFont val="Arial"/>
        <family val="2"/>
      </rPr>
      <t>Come da ultimo sostituto dall'art. 7 del Ccrl del 6.12.2024.</t>
    </r>
  </si>
  <si>
    <t xml:space="preserve">In T15(2) non è possibile estrapolare i dati relativi allo straordinario elettorale, eventi straordinari e calamità naturali,  i medesimi sono compresi nello straordinario complessivo (U06K). Per il lavoro straordinario la previsione viene effettuata sulla spesa storica, non viene costituito un fondo. </t>
  </si>
  <si>
    <t>u-personaletecnologia@regione.vda.it</t>
  </si>
  <si>
    <t>016527.3576</t>
  </si>
  <si>
    <t>https://www.regione.vda.it/</t>
  </si>
  <si>
    <t>MICHELONE</t>
  </si>
  <si>
    <t>FABIO</t>
  </si>
  <si>
    <t>f.michelone@yahoo.com;  collegio_revisori@regione.vda.it</t>
  </si>
  <si>
    <t>BORASCHI</t>
  </si>
  <si>
    <t>PIETRO</t>
  </si>
  <si>
    <t>pietro@boraschipietro.191.it</t>
  </si>
  <si>
    <t>RICCIARDIELLO</t>
  </si>
  <si>
    <t>MARCO</t>
  </si>
  <si>
    <t>marco.ricciardiello@admstudiosrl.it</t>
  </si>
  <si>
    <t>MORELLI</t>
  </si>
  <si>
    <t>GABRIELLA</t>
  </si>
  <si>
    <t>g.morelli@regione.vda.it</t>
  </si>
  <si>
    <t>016527.3362</t>
  </si>
  <si>
    <t>PEDOTTI</t>
  </si>
  <si>
    <t>CARLOTTA</t>
  </si>
  <si>
    <t>c.pedotti@regione.vda.it</t>
  </si>
  <si>
    <t>016527.3368</t>
  </si>
  <si>
    <t>Azienda U.S.L. Valle d'Aosta € 169.722,74</t>
  </si>
  <si>
    <t>Giudici di Pace € 127.340,34 - Società di Servizi € 69.582,33 - Agenzia delle Entrate € 656,14 - Istituto Musicale Pareggiato della Valle d'Aosta € 59.169,30 - Comune di Aosta € 32.296,54 - Chamois Servizi € 60.559,52 - Comune di Fenis € 3.159,35 - Ragioneria Territoriale dello Stato € 2.068,79</t>
  </si>
  <si>
    <t>S</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</si>
</sst>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_-* #,##0_-;\-* #,##0_-;_-* &quot;-&quot;_-;_-@_-"/>
    <numFmt numFmtId="165" formatCode="General_)"/>
    <numFmt numFmtId="166" formatCode="_-&quot;L.&quot;\ * #,##0_-;\-&quot;L.&quot;\ * #,##0_-;_-&quot;L.&quot;\ * &quot;-&quot;_-;_-@_-"/>
    <numFmt numFmtId="167" formatCode="[$€]\ #,##0;[Red]\-[$€]\ #,##0"/>
    <numFmt numFmtId="168" formatCode=";;;"/>
    <numFmt numFmtId="169" formatCode="#,###"/>
    <numFmt numFmtId="170" formatCode="#,##0;\-#,##0;&quot; &quot;"/>
    <numFmt numFmtId="171" formatCode="#,##0.00;\-#,##0.00;&quot; &quot;"/>
    <numFmt numFmtId="172" formatCode="#,###.00;\-#,###.00;;"/>
    <numFmt numFmtId="173" formatCode="0.000%"/>
    <numFmt numFmtId="174" formatCode="#,##0;\-\ #,##0;\-"/>
    <numFmt numFmtId="175" formatCode="#,##0.0;\-\ #,##0.0;\-"/>
  </numFmts>
  <fonts count="176" x14ac:knownFonts="1">
    <font>
      <sz val="8"/>
      <name val="Helv"/>
    </font>
    <font>
      <sz val="10"/>
      <name val="MS Sans Serif"/>
      <family val="2"/>
    </font>
    <font>
      <b/>
      <sz val="12"/>
      <name val="Arial"/>
      <family val="2"/>
    </font>
    <font>
      <sz val="8"/>
      <name val="Arial"/>
      <family val="2"/>
    </font>
    <font>
      <sz val="9"/>
      <name val="Arial"/>
      <family val="2"/>
    </font>
    <font>
      <b/>
      <sz val="10"/>
      <name val="Arial"/>
      <family val="2"/>
    </font>
    <font>
      <b/>
      <sz val="8"/>
      <name val="Arial"/>
      <family val="2"/>
    </font>
    <font>
      <b/>
      <sz val="18"/>
      <name val="Times New Roman"/>
      <family val="1"/>
    </font>
    <font>
      <u/>
      <sz val="6.4"/>
      <color indexed="12"/>
      <name val="Helv"/>
    </font>
    <font>
      <sz val="11"/>
      <name val="Arial"/>
      <family val="2"/>
    </font>
    <font>
      <b/>
      <i/>
      <sz val="8"/>
      <name val="Arial"/>
      <family val="2"/>
    </font>
    <font>
      <i/>
      <sz val="8"/>
      <name val="Arial"/>
      <family val="2"/>
    </font>
    <font>
      <sz val="8"/>
      <name val="MS Serif"/>
      <family val="1"/>
    </font>
    <font>
      <b/>
      <sz val="8"/>
      <name val="Arial"/>
      <family val="2"/>
    </font>
    <font>
      <sz val="8"/>
      <name val="Arial"/>
      <family val="2"/>
    </font>
    <font>
      <sz val="10"/>
      <name val="Arial"/>
      <family val="2"/>
    </font>
    <font>
      <b/>
      <sz val="6"/>
      <name val="Arial"/>
      <family val="2"/>
    </font>
    <font>
      <b/>
      <sz val="6"/>
      <name val="Arial"/>
      <family val="2"/>
    </font>
    <font>
      <sz val="7"/>
      <name val="MS Serif"/>
      <family val="1"/>
    </font>
    <font>
      <sz val="9"/>
      <name val="Arial"/>
      <family val="2"/>
    </font>
    <font>
      <sz val="6"/>
      <name val="MS Serif"/>
      <family val="1"/>
    </font>
    <font>
      <b/>
      <sz val="7"/>
      <name val="Arial"/>
      <family val="2"/>
    </font>
    <font>
      <b/>
      <sz val="10"/>
      <name val="Arial"/>
      <family val="2"/>
    </font>
    <font>
      <b/>
      <sz val="11"/>
      <name val="Arial"/>
      <family val="2"/>
    </font>
    <font>
      <sz val="10"/>
      <name val="Arial"/>
      <family val="2"/>
    </font>
    <font>
      <sz val="7"/>
      <name val="Arial"/>
      <family val="2"/>
    </font>
    <font>
      <sz val="12"/>
      <name val="Arial"/>
      <family val="2"/>
    </font>
    <font>
      <b/>
      <sz val="12"/>
      <name val="Arial"/>
      <family val="2"/>
    </font>
    <font>
      <b/>
      <sz val="9"/>
      <name val="Arial"/>
      <family val="2"/>
    </font>
    <font>
      <sz val="7"/>
      <name val="Arial"/>
      <family val="2"/>
    </font>
    <font>
      <sz val="8"/>
      <name val="Helv"/>
    </font>
    <font>
      <b/>
      <sz val="8"/>
      <name val="Helv"/>
    </font>
    <font>
      <b/>
      <sz val="6"/>
      <name val="MS Serif"/>
      <family val="1"/>
    </font>
    <font>
      <i/>
      <sz val="9"/>
      <name val="Arial"/>
      <family val="2"/>
    </font>
    <font>
      <sz val="8"/>
      <color indexed="10"/>
      <name val="Arial"/>
      <family val="2"/>
    </font>
    <font>
      <b/>
      <sz val="8"/>
      <color indexed="10"/>
      <name val="Arial"/>
      <family val="2"/>
    </font>
    <font>
      <i/>
      <sz val="8"/>
      <name val="Helv"/>
    </font>
    <font>
      <b/>
      <i/>
      <sz val="12"/>
      <name val="Arial"/>
      <family val="2"/>
    </font>
    <font>
      <b/>
      <i/>
      <sz val="12"/>
      <name val="Helv"/>
    </font>
    <font>
      <sz val="6"/>
      <name val="MS Serif"/>
      <family val="1"/>
    </font>
    <font>
      <b/>
      <i/>
      <sz val="11"/>
      <name val="Arial"/>
      <family val="2"/>
    </font>
    <font>
      <sz val="10"/>
      <name val="Courier"/>
      <family val="3"/>
    </font>
    <font>
      <sz val="15"/>
      <name val="Times New Roman"/>
      <family val="1"/>
    </font>
    <font>
      <sz val="15"/>
      <name val="Arial"/>
      <family val="2"/>
    </font>
    <font>
      <b/>
      <sz val="15"/>
      <name val="Arial"/>
      <family val="2"/>
    </font>
    <font>
      <sz val="14"/>
      <name val="Arial"/>
      <family val="2"/>
    </font>
    <font>
      <sz val="8"/>
      <name val="Times New Roman"/>
      <family val="1"/>
    </font>
    <font>
      <sz val="7.5"/>
      <name val="Arial"/>
      <family val="2"/>
    </font>
    <font>
      <sz val="8"/>
      <name val="Courier"/>
      <family val="3"/>
    </font>
    <font>
      <sz val="10"/>
      <color indexed="10"/>
      <name val="Arial"/>
      <family val="2"/>
    </font>
    <font>
      <i/>
      <sz val="8"/>
      <name val="Arial"/>
      <family val="2"/>
    </font>
    <font>
      <b/>
      <sz val="10"/>
      <name val="Times New Roman"/>
      <family val="1"/>
    </font>
    <font>
      <sz val="7"/>
      <name val="MS Serif"/>
      <family val="1"/>
    </font>
    <font>
      <sz val="12"/>
      <name val="Courier"/>
      <family val="3"/>
    </font>
    <font>
      <b/>
      <sz val="8"/>
      <color indexed="9"/>
      <name val="Helv"/>
    </font>
    <font>
      <sz val="8"/>
      <color indexed="9"/>
      <name val="Helv"/>
    </font>
    <font>
      <sz val="8"/>
      <name val="Helv"/>
    </font>
    <font>
      <b/>
      <sz val="16"/>
      <name val="Arial"/>
      <family val="2"/>
    </font>
    <font>
      <sz val="8.5"/>
      <name val="MS Serif"/>
      <family val="1"/>
    </font>
    <font>
      <b/>
      <sz val="12"/>
      <color indexed="10"/>
      <name val="Arial"/>
      <family val="2"/>
    </font>
    <font>
      <sz val="12"/>
      <name val="Times New Roman"/>
      <family val="1"/>
    </font>
    <font>
      <b/>
      <sz val="9"/>
      <color indexed="10"/>
      <name val="Courier"/>
      <family val="3"/>
    </font>
    <font>
      <b/>
      <i/>
      <sz val="9"/>
      <color indexed="48"/>
      <name val="Courier"/>
      <family val="3"/>
    </font>
    <font>
      <u/>
      <sz val="6.4"/>
      <color indexed="12"/>
      <name val="Arial"/>
      <family val="2"/>
    </font>
    <font>
      <sz val="10"/>
      <color indexed="10"/>
      <name val="Courier"/>
      <family val="3"/>
    </font>
    <font>
      <sz val="12"/>
      <name val="Courier"/>
      <family val="3"/>
    </font>
    <font>
      <b/>
      <sz val="10"/>
      <color indexed="10"/>
      <name val="Courier"/>
      <family val="3"/>
    </font>
    <font>
      <b/>
      <sz val="10"/>
      <color indexed="10"/>
      <name val="Arial"/>
      <family val="2"/>
    </font>
    <font>
      <b/>
      <sz val="14"/>
      <color indexed="10"/>
      <name val="Arial"/>
      <family val="2"/>
    </font>
    <font>
      <b/>
      <sz val="8"/>
      <color indexed="10"/>
      <name val="Courier"/>
      <family val="3"/>
    </font>
    <font>
      <b/>
      <i/>
      <sz val="13"/>
      <color indexed="8"/>
      <name val="Arial"/>
      <family val="2"/>
    </font>
    <font>
      <b/>
      <sz val="13"/>
      <color indexed="10"/>
      <name val="Arial"/>
      <family val="2"/>
    </font>
    <font>
      <b/>
      <i/>
      <sz val="9"/>
      <name val="Arial"/>
      <family val="2"/>
    </font>
    <font>
      <sz val="8"/>
      <name val="Trebuchet MS"/>
      <family val="2"/>
    </font>
    <font>
      <b/>
      <i/>
      <u/>
      <sz val="11"/>
      <name val="Arial"/>
      <family val="2"/>
    </font>
    <font>
      <sz val="8"/>
      <color indexed="8"/>
      <name val="Trebuchet MS"/>
      <family val="2"/>
    </font>
    <font>
      <sz val="8"/>
      <color indexed="9"/>
      <name val="Trebuchet MS"/>
      <family val="2"/>
    </font>
    <font>
      <b/>
      <sz val="8"/>
      <color indexed="52"/>
      <name val="Trebuchet MS"/>
      <family val="2"/>
    </font>
    <font>
      <sz val="8"/>
      <color indexed="52"/>
      <name val="Trebuchet MS"/>
      <family val="2"/>
    </font>
    <font>
      <b/>
      <sz val="8"/>
      <color indexed="9"/>
      <name val="Trebuchet MS"/>
      <family val="2"/>
    </font>
    <font>
      <sz val="8"/>
      <color indexed="62"/>
      <name val="Trebuchet MS"/>
      <family val="2"/>
    </font>
    <font>
      <sz val="8"/>
      <color indexed="60"/>
      <name val="Trebuchet MS"/>
      <family val="2"/>
    </font>
    <font>
      <b/>
      <sz val="8"/>
      <color indexed="63"/>
      <name val="Trebuchet MS"/>
      <family val="2"/>
    </font>
    <font>
      <sz val="10"/>
      <name val="MS Sans Serif"/>
      <family val="2"/>
    </font>
    <font>
      <sz val="8"/>
      <color indexed="10"/>
      <name val="Trebuchet MS"/>
      <family val="2"/>
    </font>
    <font>
      <i/>
      <sz val="8"/>
      <color indexed="23"/>
      <name val="Trebuchet MS"/>
      <family val="2"/>
    </font>
    <font>
      <b/>
      <sz val="18"/>
      <color indexed="56"/>
      <name val="Cambria"/>
      <family val="2"/>
    </font>
    <font>
      <b/>
      <sz val="15"/>
      <color indexed="56"/>
      <name val="Trebuchet MS"/>
      <family val="2"/>
    </font>
    <font>
      <b/>
      <sz val="13"/>
      <color indexed="56"/>
      <name val="Trebuchet MS"/>
      <family val="2"/>
    </font>
    <font>
      <b/>
      <sz val="11"/>
      <color indexed="56"/>
      <name val="Trebuchet MS"/>
      <family val="2"/>
    </font>
    <font>
      <b/>
      <sz val="8"/>
      <color indexed="8"/>
      <name val="Trebuchet MS"/>
      <family val="2"/>
    </font>
    <font>
      <sz val="8"/>
      <color indexed="20"/>
      <name val="Trebuchet MS"/>
      <family val="2"/>
    </font>
    <font>
      <sz val="8"/>
      <color indexed="17"/>
      <name val="Trebuchet MS"/>
      <family val="2"/>
    </font>
    <font>
      <b/>
      <sz val="18"/>
      <color indexed="8"/>
      <name val="Arial"/>
      <family val="2"/>
    </font>
    <font>
      <sz val="11"/>
      <color indexed="10"/>
      <name val="Arial"/>
      <family val="2"/>
    </font>
    <font>
      <b/>
      <sz val="10"/>
      <color indexed="8"/>
      <name val="Arial"/>
      <family val="2"/>
    </font>
    <font>
      <sz val="7"/>
      <name val="Small Fonts"/>
      <family val="2"/>
    </font>
    <font>
      <sz val="7"/>
      <color indexed="30"/>
      <name val="Arial"/>
      <family val="2"/>
    </font>
    <font>
      <sz val="8"/>
      <color indexed="30"/>
      <name val="Arial"/>
      <family val="2"/>
    </font>
    <font>
      <b/>
      <sz val="11"/>
      <color indexed="8"/>
      <name val="Arial"/>
      <family val="2"/>
    </font>
    <font>
      <b/>
      <sz val="6"/>
      <color indexed="8"/>
      <name val="Arial"/>
      <family val="2"/>
    </font>
    <font>
      <u/>
      <sz val="10"/>
      <name val="Courier"/>
      <family val="3"/>
    </font>
    <font>
      <i/>
      <sz val="10"/>
      <name val="Arial"/>
      <family val="2"/>
    </font>
    <font>
      <i/>
      <sz val="11"/>
      <name val="Arial"/>
      <family val="2"/>
    </font>
    <font>
      <b/>
      <sz val="10"/>
      <color indexed="10"/>
      <name val="Arial"/>
      <family val="2"/>
    </font>
    <font>
      <b/>
      <sz val="10"/>
      <name val="Courier"/>
      <family val="3"/>
    </font>
    <font>
      <b/>
      <sz val="9"/>
      <color indexed="48"/>
      <name val="Courier"/>
      <family val="3"/>
    </font>
    <font>
      <u/>
      <sz val="10"/>
      <color indexed="12"/>
      <name val="Arial"/>
      <family val="2"/>
    </font>
    <font>
      <b/>
      <i/>
      <sz val="16"/>
      <name val="Arial"/>
      <family val="2"/>
    </font>
    <font>
      <i/>
      <sz val="16"/>
      <name val="Arial"/>
      <family val="2"/>
    </font>
    <font>
      <sz val="7"/>
      <name val="Helv"/>
    </font>
    <font>
      <b/>
      <sz val="7"/>
      <name val="Helv"/>
    </font>
    <font>
      <sz val="11"/>
      <name val="Calibri"/>
      <family val="2"/>
    </font>
    <font>
      <i/>
      <sz val="10"/>
      <name val="MS Serif"/>
      <family val="1"/>
    </font>
    <font>
      <b/>
      <sz val="14"/>
      <name val="Arial"/>
      <family val="2"/>
    </font>
    <font>
      <u/>
      <sz val="12"/>
      <name val="Arial"/>
      <family val="2"/>
    </font>
    <font>
      <u/>
      <sz val="13"/>
      <name val="Arial"/>
      <family val="2"/>
    </font>
    <font>
      <u/>
      <sz val="11"/>
      <name val="Arial"/>
      <family val="2"/>
    </font>
    <font>
      <b/>
      <sz val="18"/>
      <name val="Arial"/>
      <family val="2"/>
    </font>
    <font>
      <vertAlign val="superscript"/>
      <sz val="10"/>
      <name val="Arial"/>
      <family val="2"/>
    </font>
    <font>
      <vertAlign val="superscript"/>
      <sz val="8"/>
      <name val="Arial"/>
      <family val="2"/>
    </font>
    <font>
      <b/>
      <sz val="12"/>
      <name val="Times New Roman"/>
      <family val="1"/>
    </font>
    <font>
      <sz val="11"/>
      <name val="Times New Roman"/>
      <family val="1"/>
    </font>
    <font>
      <sz val="10"/>
      <color indexed="8"/>
      <name val="Arial"/>
      <family val="2"/>
    </font>
    <font>
      <sz val="12"/>
      <name val="Helv"/>
    </font>
    <font>
      <u/>
      <sz val="12"/>
      <name val="Helv"/>
    </font>
    <font>
      <sz val="16"/>
      <name val="Arial"/>
      <family val="2"/>
    </font>
    <font>
      <strike/>
      <sz val="10"/>
      <name val="Arial"/>
      <family val="2"/>
    </font>
    <font>
      <vertAlign val="superscript"/>
      <sz val="12"/>
      <name val="Arial"/>
      <family val="2"/>
    </font>
    <font>
      <b/>
      <sz val="8"/>
      <color indexed="10"/>
      <name val="Helv"/>
    </font>
    <font>
      <sz val="7"/>
      <name val="Times New Roman"/>
      <family val="1"/>
    </font>
    <font>
      <i/>
      <sz val="11"/>
      <name val="Calibri"/>
      <family val="2"/>
    </font>
    <font>
      <u/>
      <sz val="10"/>
      <name val="Arial"/>
      <family val="2"/>
    </font>
    <font>
      <sz val="12"/>
      <color theme="1"/>
      <name val="Times New Roman"/>
      <family val="2"/>
    </font>
    <font>
      <sz val="12"/>
      <color theme="1"/>
      <name val="Calibri"/>
      <family val="2"/>
      <scheme val="minor"/>
    </font>
    <font>
      <sz val="11"/>
      <color theme="1"/>
      <name val="Calibri"/>
      <family val="2"/>
      <scheme val="minor"/>
    </font>
    <font>
      <b/>
      <sz val="8"/>
      <color rgb="FFFF0000"/>
      <name val="Helv"/>
    </font>
    <font>
      <b/>
      <sz val="12"/>
      <color theme="0"/>
      <name val="Arial"/>
      <family val="2"/>
    </font>
    <font>
      <sz val="8"/>
      <color rgb="FFFF0000"/>
      <name val="Arial"/>
      <family val="2"/>
    </font>
    <font>
      <sz val="8"/>
      <color theme="0"/>
      <name val="Arial"/>
      <family val="2"/>
    </font>
    <font>
      <b/>
      <sz val="10"/>
      <color rgb="FFFF0000"/>
      <name val="Arial"/>
      <family val="2"/>
    </font>
    <font>
      <sz val="12"/>
      <color theme="1"/>
      <name val="Arial"/>
      <family val="2"/>
    </font>
    <font>
      <sz val="10"/>
      <color theme="1"/>
      <name val="Arial"/>
      <family val="2"/>
    </font>
    <font>
      <sz val="11"/>
      <color theme="1"/>
      <name val="Arial"/>
      <family val="2"/>
    </font>
    <font>
      <sz val="9"/>
      <color theme="1"/>
      <name val="Arial"/>
      <family val="2"/>
    </font>
    <font>
      <sz val="8"/>
      <color theme="1"/>
      <name val="Arial"/>
      <family val="2"/>
    </font>
    <font>
      <b/>
      <sz val="12"/>
      <color theme="1"/>
      <name val="Arial"/>
      <family val="2"/>
    </font>
    <font>
      <b/>
      <sz val="9"/>
      <color theme="1"/>
      <name val="Arial"/>
      <family val="2"/>
    </font>
    <font>
      <b/>
      <sz val="12"/>
      <color rgb="FFFF0000"/>
      <name val="Arial"/>
      <family val="2"/>
    </font>
    <font>
      <i/>
      <sz val="10"/>
      <color theme="1"/>
      <name val="Arial"/>
      <family val="2"/>
    </font>
    <font>
      <sz val="10"/>
      <color theme="0"/>
      <name val="Courier"/>
      <family val="3"/>
    </font>
    <font>
      <sz val="10"/>
      <color theme="0"/>
      <name val="Arial"/>
      <family val="2"/>
    </font>
    <font>
      <b/>
      <sz val="50"/>
      <color rgb="FFFF0000"/>
      <name val="Arial"/>
      <family val="2"/>
    </font>
    <font>
      <b/>
      <sz val="9"/>
      <color theme="0"/>
      <name val="Courier"/>
      <family val="3"/>
    </font>
    <font>
      <b/>
      <sz val="9"/>
      <color rgb="FFFF0000"/>
      <name val="Arial"/>
      <family val="2"/>
    </font>
    <font>
      <b/>
      <sz val="8"/>
      <color theme="1"/>
      <name val="Arial"/>
      <family val="2"/>
    </font>
    <font>
      <b/>
      <sz val="6"/>
      <color rgb="FFFF0000"/>
      <name val="MS Serif"/>
      <family val="1"/>
    </font>
    <font>
      <sz val="12"/>
      <color rgb="FF0000CC"/>
      <name val="Arial"/>
      <family val="2"/>
    </font>
    <font>
      <sz val="11"/>
      <color rgb="FF0000CC"/>
      <name val="Arial"/>
      <family val="2"/>
    </font>
    <font>
      <sz val="10"/>
      <color rgb="FFFF0000"/>
      <name val="Courier"/>
      <family val="3"/>
    </font>
    <font>
      <sz val="10"/>
      <color rgb="FFFF0000"/>
      <name val="Arial"/>
      <family val="2"/>
    </font>
    <font>
      <sz val="8"/>
      <color theme="0"/>
      <name val="Helv"/>
    </font>
    <font>
      <sz val="12"/>
      <color rgb="FF00B050"/>
      <name val="Arial"/>
      <family val="2"/>
    </font>
    <font>
      <b/>
      <sz val="11"/>
      <color rgb="FFFF0000"/>
      <name val="Arial"/>
      <family val="2"/>
    </font>
    <font>
      <sz val="12"/>
      <color rgb="FFFF0000"/>
      <name val="Arial"/>
      <family val="2"/>
    </font>
    <font>
      <sz val="11"/>
      <color rgb="FFFF0000"/>
      <name val="Arial"/>
      <family val="2"/>
    </font>
    <font>
      <i/>
      <sz val="10"/>
      <color rgb="FFFF0000"/>
      <name val="Arial"/>
      <family val="2"/>
    </font>
    <font>
      <sz val="18"/>
      <color theme="1"/>
      <name val="Arial"/>
      <family val="2"/>
    </font>
    <font>
      <sz val="16"/>
      <color theme="1"/>
      <name val="Arial"/>
      <family val="2"/>
    </font>
    <font>
      <sz val="11"/>
      <color theme="0"/>
      <name val="Arial"/>
      <family val="2"/>
    </font>
    <font>
      <b/>
      <sz val="9"/>
      <color rgb="FFFF0000"/>
      <name val="Courier"/>
      <family val="3"/>
    </font>
    <font>
      <b/>
      <sz val="10"/>
      <color rgb="FFFF0000"/>
      <name val="Helv"/>
    </font>
    <font>
      <b/>
      <sz val="18"/>
      <color rgb="FFFF0000"/>
      <name val="Times New Roman"/>
      <family val="1"/>
    </font>
    <font>
      <sz val="8"/>
      <color rgb="FFFF0000"/>
      <name val="Helv"/>
    </font>
    <font>
      <vertAlign val="superscript"/>
      <sz val="13"/>
      <name val="Arial"/>
      <family val="2"/>
    </font>
    <font>
      <vertAlign val="superscript"/>
      <sz val="11"/>
      <name val="Arial"/>
      <family val="2"/>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gray0625"/>
    </fill>
    <fill>
      <patternFill patternType="gray0625">
        <fgColor indexed="26"/>
        <bgColor indexed="26"/>
      </patternFill>
    </fill>
    <fill>
      <patternFill patternType="gray0625">
        <bgColor indexed="9"/>
      </patternFill>
    </fill>
    <fill>
      <patternFill patternType="solid">
        <fgColor theme="0"/>
        <bgColor indexed="64"/>
      </patternFill>
    </fill>
    <fill>
      <patternFill patternType="solid">
        <fgColor theme="0" tint="-0.14999847407452621"/>
        <bgColor indexed="64"/>
      </patternFill>
    </fill>
    <fill>
      <patternFill patternType="solid">
        <fgColor theme="0" tint="-0.24994659260841701"/>
        <bgColor indexed="64"/>
      </patternFill>
    </fill>
    <fill>
      <patternFill patternType="solid">
        <fgColor theme="9" tint="0.59999389629810485"/>
        <bgColor indexed="64"/>
      </patternFill>
    </fill>
    <fill>
      <patternFill patternType="solid">
        <fgColor rgb="FFFFFF99"/>
        <bgColor indexed="64"/>
      </patternFill>
    </fill>
    <fill>
      <patternFill patternType="solid">
        <fgColor rgb="FFFFFF00"/>
        <bgColor indexed="64"/>
      </patternFill>
    </fill>
    <fill>
      <patternFill patternType="gray0625">
        <bgColor theme="0" tint="-4.9989318521683403E-2"/>
      </patternFill>
    </fill>
  </fills>
  <borders count="167">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style="thin">
        <color indexed="64"/>
      </bottom>
      <diagonal/>
    </border>
    <border>
      <left style="thin">
        <color indexed="64"/>
      </left>
      <right style="double">
        <color indexed="64"/>
      </right>
      <top/>
      <bottom style="medium">
        <color indexed="64"/>
      </bottom>
      <diagonal/>
    </border>
    <border>
      <left/>
      <right/>
      <top style="medium">
        <color indexed="64"/>
      </top>
      <bottom style="double">
        <color indexed="64"/>
      </bottom>
      <diagonal/>
    </border>
    <border>
      <left style="medium">
        <color indexed="64"/>
      </left>
      <right/>
      <top/>
      <bottom style="medium">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diagonal/>
    </border>
    <border>
      <left style="thin">
        <color indexed="64"/>
      </left>
      <right/>
      <top/>
      <bottom/>
      <diagonal/>
    </border>
    <border>
      <left style="medium">
        <color indexed="64"/>
      </left>
      <right/>
      <top style="double">
        <color indexed="64"/>
      </top>
      <bottom style="medium">
        <color indexed="64"/>
      </bottom>
      <diagonal/>
    </border>
    <border>
      <left style="double">
        <color indexed="64"/>
      </left>
      <right style="double">
        <color indexed="64"/>
      </right>
      <top style="medium">
        <color indexed="64"/>
      </top>
      <bottom/>
      <diagonal/>
    </border>
    <border>
      <left/>
      <right style="double">
        <color indexed="64"/>
      </right>
      <top style="medium">
        <color indexed="64"/>
      </top>
      <bottom/>
      <diagonal/>
    </border>
    <border>
      <left style="thin">
        <color indexed="64"/>
      </left>
      <right/>
      <top style="double">
        <color indexed="64"/>
      </top>
      <bottom style="medium">
        <color indexed="64"/>
      </bottom>
      <diagonal/>
    </border>
    <border>
      <left/>
      <right style="medium">
        <color indexed="64"/>
      </right>
      <top style="medium">
        <color indexed="64"/>
      </top>
      <bottom style="thin">
        <color indexed="64"/>
      </bottom>
      <diagonal/>
    </border>
    <border>
      <left style="thin">
        <color indexed="64"/>
      </left>
      <right/>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style="medium">
        <color indexed="64"/>
      </right>
      <top/>
      <bottom style="double">
        <color indexed="64"/>
      </bottom>
      <diagonal/>
    </border>
    <border>
      <left style="double">
        <color indexed="64"/>
      </left>
      <right/>
      <top style="double">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right style="medium">
        <color indexed="64"/>
      </right>
      <top style="double">
        <color indexed="64"/>
      </top>
      <bottom/>
      <diagonal/>
    </border>
    <border>
      <left style="double">
        <color indexed="64"/>
      </left>
      <right style="medium">
        <color indexed="64"/>
      </right>
      <top style="double">
        <color indexed="64"/>
      </top>
      <bottom/>
      <diagonal/>
    </border>
    <border>
      <left style="medium">
        <color indexed="64"/>
      </left>
      <right/>
      <top style="medium">
        <color indexed="64"/>
      </top>
      <bottom style="thin">
        <color indexed="64"/>
      </bottom>
      <diagonal/>
    </border>
    <border>
      <left style="medium">
        <color indexed="64"/>
      </left>
      <right/>
      <top style="double">
        <color indexed="64"/>
      </top>
      <bottom/>
      <diagonal/>
    </border>
    <border>
      <left style="medium">
        <color indexed="64"/>
      </left>
      <right/>
      <top/>
      <bottom style="double">
        <color indexed="64"/>
      </bottom>
      <diagonal/>
    </border>
    <border>
      <left style="thin">
        <color indexed="64"/>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right style="double">
        <color indexed="64"/>
      </right>
      <top style="double">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double">
        <color indexed="64"/>
      </top>
      <bottom style="medium">
        <color indexed="64"/>
      </bottom>
      <diagonal/>
    </border>
    <border>
      <left/>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double">
        <color indexed="64"/>
      </left>
      <right/>
      <top/>
      <bottom style="thin">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diagonal/>
    </border>
    <border>
      <left style="thin">
        <color indexed="64"/>
      </left>
      <right style="double">
        <color indexed="64"/>
      </right>
      <top style="thin">
        <color indexed="64"/>
      </top>
      <bottom style="thin">
        <color indexed="64"/>
      </bottom>
      <diagonal/>
    </border>
    <border>
      <left/>
      <right/>
      <top/>
      <bottom style="thin">
        <color indexed="64"/>
      </bottom>
      <diagonal/>
    </border>
    <border>
      <left style="double">
        <color indexed="64"/>
      </left>
      <right style="thin">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double">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medium">
        <color indexed="64"/>
      </right>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double">
        <color indexed="64"/>
      </bottom>
      <diagonal/>
    </border>
    <border>
      <left style="thin">
        <color indexed="64"/>
      </left>
      <right style="double">
        <color indexed="64"/>
      </right>
      <top/>
      <bottom/>
      <diagonal/>
    </border>
    <border>
      <left style="double">
        <color indexed="64"/>
      </left>
      <right style="medium">
        <color indexed="64"/>
      </right>
      <top/>
      <bottom/>
      <diagonal/>
    </border>
    <border>
      <left/>
      <right style="medium">
        <color indexed="64"/>
      </right>
      <top style="medium">
        <color indexed="64"/>
      </top>
      <bottom style="medium">
        <color indexed="64"/>
      </bottom>
      <diagonal/>
    </border>
    <border>
      <left style="thin">
        <color indexed="64"/>
      </left>
      <right style="double">
        <color indexed="64"/>
      </right>
      <top style="double">
        <color indexed="64"/>
      </top>
      <bottom style="thin">
        <color indexed="64"/>
      </bottom>
      <diagonal/>
    </border>
    <border>
      <left style="thin">
        <color indexed="64"/>
      </left>
      <right/>
      <top style="medium">
        <color indexed="64"/>
      </top>
      <bottom style="double">
        <color indexed="64"/>
      </bottom>
      <diagonal/>
    </border>
    <border>
      <left style="double">
        <color indexed="64"/>
      </left>
      <right style="thin">
        <color indexed="64"/>
      </right>
      <top style="double">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double">
        <color indexed="64"/>
      </left>
      <right style="medium">
        <color indexed="64"/>
      </right>
      <top/>
      <bottom style="medium">
        <color indexed="64"/>
      </bottom>
      <diagonal/>
    </border>
    <border>
      <left style="thin">
        <color indexed="64"/>
      </left>
      <right style="thin">
        <color indexed="64"/>
      </right>
      <top style="double">
        <color indexed="64"/>
      </top>
      <bottom style="medium">
        <color indexed="64"/>
      </bottom>
      <diagonal/>
    </border>
    <border>
      <left/>
      <right style="double">
        <color indexed="64"/>
      </right>
      <top style="thin">
        <color indexed="64"/>
      </top>
      <bottom style="thin">
        <color indexed="64"/>
      </bottom>
      <diagonal/>
    </border>
    <border>
      <left style="double">
        <color indexed="64"/>
      </left>
      <right/>
      <top style="double">
        <color indexed="64"/>
      </top>
      <bottom style="medium">
        <color indexed="64"/>
      </bottom>
      <diagonal/>
    </border>
    <border>
      <left style="double">
        <color indexed="64"/>
      </left>
      <right style="medium">
        <color indexed="64"/>
      </right>
      <top style="double">
        <color indexed="64"/>
      </top>
      <bottom style="medium">
        <color indexed="64"/>
      </bottom>
      <diagonal/>
    </border>
    <border>
      <left/>
      <right/>
      <top/>
      <bottom style="medium">
        <color indexed="64"/>
      </bottom>
      <diagonal/>
    </border>
    <border>
      <left style="double">
        <color indexed="64"/>
      </left>
      <right/>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double">
        <color indexed="64"/>
      </right>
      <top style="thin">
        <color indexed="64"/>
      </top>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double">
        <color indexed="64"/>
      </left>
      <right style="thin">
        <color indexed="64"/>
      </right>
      <top/>
      <bottom/>
      <diagonal/>
    </border>
    <border>
      <left style="medium">
        <color indexed="64"/>
      </left>
      <right style="medium">
        <color indexed="64"/>
      </right>
      <top style="double">
        <color indexed="64"/>
      </top>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medium">
        <color indexed="64"/>
      </left>
      <right style="double">
        <color indexed="64"/>
      </right>
      <top style="double">
        <color indexed="64"/>
      </top>
      <bottom/>
      <diagonal/>
    </border>
    <border>
      <left style="double">
        <color indexed="64"/>
      </left>
      <right/>
      <top style="medium">
        <color indexed="64"/>
      </top>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double">
        <color indexed="64"/>
      </right>
      <top style="medium">
        <color indexed="64"/>
      </top>
      <bottom/>
      <diagonal/>
    </border>
    <border>
      <left style="double">
        <color indexed="64"/>
      </left>
      <right/>
      <top/>
      <bottom style="medium">
        <color indexed="64"/>
      </bottom>
      <diagonal/>
    </border>
    <border>
      <left/>
      <right style="double">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right style="thin">
        <color indexed="64"/>
      </right>
      <top style="thin">
        <color indexed="64"/>
      </top>
      <bottom/>
      <diagonal/>
    </border>
    <border>
      <left/>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s>
  <cellStyleXfs count="78">
    <xf numFmtId="0" fontId="0" fillId="0" borderId="0"/>
    <xf numFmtId="0" fontId="75" fillId="2" borderId="0" applyNumberFormat="0" applyBorder="0" applyAlignment="0" applyProtection="0"/>
    <xf numFmtId="0" fontId="75" fillId="3" borderId="0" applyNumberFormat="0" applyBorder="0" applyAlignment="0" applyProtection="0"/>
    <xf numFmtId="0" fontId="75" fillId="4" borderId="0" applyNumberFormat="0" applyBorder="0" applyAlignment="0" applyProtection="0"/>
    <xf numFmtId="0" fontId="75" fillId="5" borderId="0" applyNumberFormat="0" applyBorder="0" applyAlignment="0" applyProtection="0"/>
    <xf numFmtId="0" fontId="75" fillId="6" borderId="0" applyNumberFormat="0" applyBorder="0" applyAlignment="0" applyProtection="0"/>
    <xf numFmtId="0" fontId="75" fillId="7" borderId="0" applyNumberFormat="0" applyBorder="0" applyAlignment="0" applyProtection="0"/>
    <xf numFmtId="0" fontId="75" fillId="8" borderId="0" applyNumberFormat="0" applyBorder="0" applyAlignment="0" applyProtection="0"/>
    <xf numFmtId="0" fontId="75" fillId="9" borderId="0" applyNumberFormat="0" applyBorder="0" applyAlignment="0" applyProtection="0"/>
    <xf numFmtId="0" fontId="75" fillId="10" borderId="0" applyNumberFormat="0" applyBorder="0" applyAlignment="0" applyProtection="0"/>
    <xf numFmtId="0" fontId="75" fillId="5" borderId="0" applyNumberFormat="0" applyBorder="0" applyAlignment="0" applyProtection="0"/>
    <xf numFmtId="0" fontId="75" fillId="8" borderId="0" applyNumberFormat="0" applyBorder="0" applyAlignment="0" applyProtection="0"/>
    <xf numFmtId="0" fontId="75" fillId="11" borderId="0" applyNumberFormat="0" applyBorder="0" applyAlignment="0" applyProtection="0"/>
    <xf numFmtId="0" fontId="76" fillId="12" borderId="0" applyNumberFormat="0" applyBorder="0" applyAlignment="0" applyProtection="0"/>
    <xf numFmtId="0" fontId="76" fillId="9" borderId="0" applyNumberFormat="0" applyBorder="0" applyAlignment="0" applyProtection="0"/>
    <xf numFmtId="0" fontId="76" fillId="10" borderId="0" applyNumberFormat="0" applyBorder="0" applyAlignment="0" applyProtection="0"/>
    <xf numFmtId="0" fontId="76" fillId="13" borderId="0" applyNumberFormat="0" applyBorder="0" applyAlignment="0" applyProtection="0"/>
    <xf numFmtId="0" fontId="76" fillId="14" borderId="0" applyNumberFormat="0" applyBorder="0" applyAlignment="0" applyProtection="0"/>
    <xf numFmtId="0" fontId="76" fillId="15" borderId="0" applyNumberFormat="0" applyBorder="0" applyAlignment="0" applyProtection="0"/>
    <xf numFmtId="0" fontId="77" fillId="16" borderId="1" applyNumberFormat="0" applyAlignment="0" applyProtection="0"/>
    <xf numFmtId="0" fontId="78" fillId="0" borderId="2" applyNumberFormat="0" applyFill="0" applyAlignment="0" applyProtection="0"/>
    <xf numFmtId="0" fontId="79" fillId="17" borderId="3" applyNumberFormat="0" applyAlignment="0" applyProtection="0"/>
    <xf numFmtId="0" fontId="8" fillId="0" borderId="0" applyNumberFormat="0" applyFill="0" applyBorder="0" applyAlignment="0" applyProtection="0">
      <alignment vertical="top"/>
      <protection locked="0"/>
    </xf>
    <xf numFmtId="0" fontId="76" fillId="18" borderId="0" applyNumberFormat="0" applyBorder="0" applyAlignment="0" applyProtection="0"/>
    <xf numFmtId="0" fontId="76" fillId="19" borderId="0" applyNumberFormat="0" applyBorder="0" applyAlignment="0" applyProtection="0"/>
    <xf numFmtId="0" fontId="76" fillId="20" borderId="0" applyNumberFormat="0" applyBorder="0" applyAlignment="0" applyProtection="0"/>
    <xf numFmtId="0" fontId="76" fillId="13" borderId="0" applyNumberFormat="0" applyBorder="0" applyAlignment="0" applyProtection="0"/>
    <xf numFmtId="0" fontId="76" fillId="14" borderId="0" applyNumberFormat="0" applyBorder="0" applyAlignment="0" applyProtection="0"/>
    <xf numFmtId="0" fontId="76" fillId="21" borderId="0" applyNumberFormat="0" applyBorder="0" applyAlignment="0" applyProtection="0"/>
    <xf numFmtId="167" fontId="30" fillId="0" borderId="0" applyFont="0" applyFill="0" applyBorder="0" applyAlignment="0" applyProtection="0"/>
    <xf numFmtId="0" fontId="80" fillId="7" borderId="1" applyNumberFormat="0" applyAlignment="0" applyProtection="0"/>
    <xf numFmtId="0" fontId="133" fillId="0" borderId="0" applyNumberFormat="0" applyBorder="0" applyAlignment="0"/>
    <xf numFmtId="40" fontId="1" fillId="0" borderId="0" applyFont="0" applyFill="0" applyBorder="0" applyAlignment="0" applyProtection="0"/>
    <xf numFmtId="164" fontId="60" fillId="0" borderId="0" applyFont="0" applyFill="0" applyBorder="0" applyAlignment="0" applyProtection="0"/>
    <xf numFmtId="40" fontId="1" fillId="0" borderId="0" applyFont="0" applyFill="0" applyBorder="0" applyAlignment="0" applyProtection="0"/>
    <xf numFmtId="0" fontId="81" fillId="22" borderId="0" applyNumberFormat="0" applyBorder="0" applyAlignment="0" applyProtection="0"/>
    <xf numFmtId="0" fontId="30" fillId="0" borderId="0"/>
    <xf numFmtId="0" fontId="134" fillId="0" borderId="0"/>
    <xf numFmtId="0" fontId="30" fillId="0" borderId="0"/>
    <xf numFmtId="0" fontId="30" fillId="0" borderId="0"/>
    <xf numFmtId="0" fontId="15" fillId="0" borderId="0"/>
    <xf numFmtId="0" fontId="133" fillId="0" borderId="0"/>
    <xf numFmtId="0" fontId="135" fillId="0" borderId="0"/>
    <xf numFmtId="0" fontId="133" fillId="0" borderId="0"/>
    <xf numFmtId="0" fontId="30" fillId="0" borderId="0"/>
    <xf numFmtId="0" fontId="133" fillId="0" borderId="0"/>
    <xf numFmtId="0" fontId="135" fillId="0" borderId="0"/>
    <xf numFmtId="0" fontId="133" fillId="0" borderId="0"/>
    <xf numFmtId="0" fontId="123" fillId="0" borderId="0"/>
    <xf numFmtId="0" fontId="133" fillId="0" borderId="0"/>
    <xf numFmtId="0" fontId="30" fillId="0" borderId="0"/>
    <xf numFmtId="0" fontId="30" fillId="0" borderId="0"/>
    <xf numFmtId="0" fontId="75" fillId="0" borderId="0"/>
    <xf numFmtId="165" fontId="41"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75" fillId="23" borderId="4" applyNumberFormat="0" applyFont="0" applyAlignment="0" applyProtection="0"/>
    <xf numFmtId="0" fontId="82" fillId="16" borderId="5" applyNumberFormat="0" applyAlignment="0" applyProtection="0"/>
    <xf numFmtId="9" fontId="1" fillId="0" borderId="0" applyFont="0" applyFill="0" applyBorder="0" applyAlignment="0" applyProtection="0"/>
    <xf numFmtId="9" fontId="83" fillId="0" borderId="0" applyFont="0" applyFill="0" applyBorder="0" applyAlignment="0" applyProtection="0"/>
    <xf numFmtId="9" fontId="1" fillId="0" borderId="0" applyFont="0" applyFill="0" applyBorder="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7" fillId="0" borderId="6" applyNumberFormat="0" applyFill="0" applyAlignment="0" applyProtection="0"/>
    <xf numFmtId="0" fontId="88" fillId="0" borderId="7" applyNumberFormat="0" applyFill="0" applyAlignment="0" applyProtection="0"/>
    <xf numFmtId="0" fontId="89" fillId="0" borderId="8" applyNumberFormat="0" applyFill="0" applyAlignment="0" applyProtection="0"/>
    <xf numFmtId="0" fontId="89" fillId="0" borderId="0" applyNumberFormat="0" applyFill="0" applyBorder="0" applyAlignment="0" applyProtection="0"/>
    <xf numFmtId="0" fontId="90" fillId="0" borderId="9" applyNumberFormat="0" applyFill="0" applyAlignment="0" applyProtection="0"/>
    <xf numFmtId="0" fontId="91" fillId="3" borderId="0" applyNumberFormat="0" applyBorder="0" applyAlignment="0" applyProtection="0"/>
    <xf numFmtId="0" fontId="92" fillId="4" borderId="0" applyNumberFormat="0" applyBorder="0" applyAlignment="0" applyProtection="0"/>
    <xf numFmtId="166" fontId="60" fillId="0" borderId="0" applyFont="0" applyFill="0" applyBorder="0" applyAlignment="0" applyProtection="0"/>
  </cellStyleXfs>
  <cellXfs count="1646">
    <xf numFmtId="0" fontId="0" fillId="0" borderId="0" xfId="0"/>
    <xf numFmtId="0" fontId="2" fillId="0" borderId="0" xfId="0" applyFont="1" applyAlignment="1">
      <alignment horizontal="left" vertical="top"/>
    </xf>
    <xf numFmtId="0" fontId="3" fillId="0" borderId="0" xfId="0" applyFont="1" applyAlignment="1">
      <alignment horizontal="center"/>
    </xf>
    <xf numFmtId="0" fontId="3" fillId="0" borderId="0" xfId="0" applyFont="1"/>
    <xf numFmtId="0" fontId="3" fillId="0" borderId="0" xfId="0" applyFont="1" applyAlignment="1">
      <alignment horizontal="left"/>
    </xf>
    <xf numFmtId="0" fontId="4" fillId="0" borderId="0" xfId="0" applyFont="1"/>
    <xf numFmtId="0" fontId="6" fillId="0" borderId="0" xfId="0" applyFont="1" applyAlignment="1">
      <alignment horizontal="right" vertical="center"/>
    </xf>
    <xf numFmtId="0" fontId="3" fillId="0" borderId="10" xfId="0" applyFont="1" applyBorder="1" applyAlignment="1">
      <alignment horizontal="centerContinuous"/>
    </xf>
    <xf numFmtId="0" fontId="3" fillId="0" borderId="11" xfId="0" applyFont="1" applyBorder="1" applyAlignment="1">
      <alignment horizontal="center"/>
    </xf>
    <xf numFmtId="0" fontId="3" fillId="0" borderId="12" xfId="0" applyFont="1" applyBorder="1" applyAlignment="1">
      <alignment horizontal="centerContinuous" vertical="center"/>
    </xf>
    <xf numFmtId="0" fontId="3" fillId="0" borderId="13" xfId="0" applyFont="1" applyBorder="1" applyAlignment="1">
      <alignment horizontal="center"/>
    </xf>
    <xf numFmtId="0" fontId="5" fillId="0" borderId="14" xfId="0" applyFont="1" applyBorder="1" applyAlignment="1">
      <alignment horizontal="centerContinuous" vertical="center"/>
    </xf>
    <xf numFmtId="0" fontId="6" fillId="0" borderId="15" xfId="0" applyFont="1" applyBorder="1" applyAlignment="1">
      <alignment horizontal="right" vertical="center"/>
    </xf>
    <xf numFmtId="0" fontId="13" fillId="0" borderId="16" xfId="0" applyFont="1" applyBorder="1" applyAlignment="1">
      <alignment horizontal="centerContinuous" vertical="center"/>
    </xf>
    <xf numFmtId="0" fontId="13" fillId="0" borderId="17" xfId="0" applyFont="1" applyBorder="1" applyAlignment="1">
      <alignment horizontal="centerContinuous" vertical="center"/>
    </xf>
    <xf numFmtId="0" fontId="13" fillId="0" borderId="16" xfId="0" applyFont="1" applyBorder="1" applyAlignment="1">
      <alignment horizontal="centerContinuous" vertical="center" wrapText="1"/>
    </xf>
    <xf numFmtId="0" fontId="3" fillId="0" borderId="18" xfId="0" applyFont="1" applyBorder="1" applyAlignment="1">
      <alignment horizontal="left"/>
    </xf>
    <xf numFmtId="0" fontId="14" fillId="0" borderId="0" xfId="0" applyFont="1"/>
    <xf numFmtId="0" fontId="10" fillId="0" borderId="19" xfId="0" applyFont="1" applyBorder="1" applyAlignment="1">
      <alignment horizontal="center" vertical="center"/>
    </xf>
    <xf numFmtId="0" fontId="2" fillId="0" borderId="0" xfId="61" applyFont="1" applyAlignment="1">
      <alignment horizontal="left" vertical="top"/>
    </xf>
    <xf numFmtId="0" fontId="3" fillId="0" borderId="0" xfId="61" applyFont="1" applyAlignment="1">
      <alignment horizontal="center"/>
    </xf>
    <xf numFmtId="0" fontId="3" fillId="0" borderId="0" xfId="61" applyFont="1"/>
    <xf numFmtId="0" fontId="10" fillId="0" borderId="19" xfId="61" applyFont="1" applyBorder="1" applyAlignment="1">
      <alignment horizontal="center" vertical="center"/>
    </xf>
    <xf numFmtId="0" fontId="6" fillId="0" borderId="20" xfId="61" applyFont="1" applyBorder="1" applyAlignment="1">
      <alignment horizontal="center" vertical="center"/>
    </xf>
    <xf numFmtId="0" fontId="6" fillId="0" borderId="21" xfId="61" applyFont="1" applyBorder="1" applyAlignment="1">
      <alignment horizontal="right" vertical="center"/>
    </xf>
    <xf numFmtId="0" fontId="15" fillId="0" borderId="0" xfId="60"/>
    <xf numFmtId="0" fontId="16" fillId="0" borderId="22" xfId="60" applyFont="1" applyBorder="1" applyAlignment="1">
      <alignment horizontal="centerContinuous" vertical="center" wrapText="1"/>
    </xf>
    <xf numFmtId="0" fontId="3" fillId="0" borderId="23" xfId="60" applyFont="1" applyBorder="1" applyAlignment="1">
      <alignment horizontal="centerContinuous" vertical="center" wrapText="1"/>
    </xf>
    <xf numFmtId="0" fontId="6" fillId="0" borderId="21" xfId="60" applyFont="1" applyBorder="1" applyAlignment="1">
      <alignment horizontal="right" vertical="center"/>
    </xf>
    <xf numFmtId="0" fontId="3" fillId="0" borderId="24" xfId="60" applyFont="1" applyBorder="1" applyAlignment="1">
      <alignment horizontal="center"/>
    </xf>
    <xf numFmtId="0" fontId="3" fillId="0" borderId="0" xfId="59" applyFont="1"/>
    <xf numFmtId="0" fontId="4" fillId="0" borderId="0" xfId="59" applyFont="1"/>
    <xf numFmtId="0" fontId="3" fillId="0" borderId="0" xfId="59" applyFont="1" applyAlignment="1">
      <alignment horizontal="center"/>
    </xf>
    <xf numFmtId="0" fontId="3" fillId="0" borderId="10" xfId="59" applyFont="1" applyBorder="1" applyAlignment="1">
      <alignment horizontal="centerContinuous"/>
    </xf>
    <xf numFmtId="0" fontId="3" fillId="0" borderId="11" xfId="59" applyFont="1" applyBorder="1" applyAlignment="1">
      <alignment horizontal="center"/>
    </xf>
    <xf numFmtId="0" fontId="6" fillId="0" borderId="12" xfId="59" applyFont="1" applyBorder="1" applyAlignment="1">
      <alignment horizontal="centerContinuous" vertical="center"/>
    </xf>
    <xf numFmtId="0" fontId="3" fillId="0" borderId="12" xfId="59" applyFont="1" applyBorder="1" applyAlignment="1">
      <alignment horizontal="centerContinuous" vertical="center"/>
    </xf>
    <xf numFmtId="0" fontId="3" fillId="0" borderId="25" xfId="59" applyFont="1" applyBorder="1" applyAlignment="1">
      <alignment horizontal="centerContinuous" vertical="center"/>
    </xf>
    <xf numFmtId="0" fontId="6" fillId="0" borderId="20" xfId="59" applyFont="1" applyBorder="1" applyAlignment="1">
      <alignment horizontal="center" vertical="center"/>
    </xf>
    <xf numFmtId="0" fontId="3" fillId="0" borderId="26" xfId="59" applyFont="1" applyBorder="1" applyAlignment="1">
      <alignment horizontal="center"/>
    </xf>
    <xf numFmtId="0" fontId="20" fillId="0" borderId="27" xfId="59" applyFont="1" applyBorder="1" applyAlignment="1">
      <alignment horizontal="center"/>
    </xf>
    <xf numFmtId="0" fontId="20" fillId="0" borderId="28" xfId="59" applyFont="1" applyBorder="1" applyAlignment="1">
      <alignment horizontal="center"/>
    </xf>
    <xf numFmtId="0" fontId="20" fillId="0" borderId="29" xfId="59" applyFont="1" applyBorder="1" applyAlignment="1">
      <alignment horizontal="center"/>
    </xf>
    <xf numFmtId="0" fontId="6" fillId="0" borderId="21" xfId="59" applyFont="1" applyBorder="1" applyAlignment="1">
      <alignment horizontal="right" vertical="center"/>
    </xf>
    <xf numFmtId="0" fontId="3" fillId="0" borderId="24" xfId="59" applyFont="1" applyBorder="1" applyAlignment="1">
      <alignment horizontal="center"/>
    </xf>
    <xf numFmtId="0" fontId="3" fillId="0" borderId="0" xfId="58" applyFont="1"/>
    <xf numFmtId="0" fontId="4" fillId="0" borderId="0" xfId="58" applyFont="1"/>
    <xf numFmtId="0" fontId="3" fillId="0" borderId="0" xfId="58" applyFont="1" applyAlignment="1">
      <alignment horizontal="center"/>
    </xf>
    <xf numFmtId="0" fontId="3" fillId="0" borderId="10" xfId="58" applyFont="1" applyBorder="1" applyAlignment="1">
      <alignment horizontal="centerContinuous"/>
    </xf>
    <xf numFmtId="0" fontId="3" fillId="0" borderId="11" xfId="58" applyFont="1" applyBorder="1" applyAlignment="1">
      <alignment horizontal="center"/>
    </xf>
    <xf numFmtId="0" fontId="6" fillId="0" borderId="12" xfId="58" applyFont="1" applyBorder="1" applyAlignment="1">
      <alignment horizontal="centerContinuous" vertical="center"/>
    </xf>
    <xf numFmtId="0" fontId="3" fillId="0" borderId="12" xfId="58" applyFont="1" applyBorder="1" applyAlignment="1">
      <alignment horizontal="centerContinuous" vertical="center"/>
    </xf>
    <xf numFmtId="0" fontId="3" fillId="0" borderId="25" xfId="58" applyFont="1" applyBorder="1" applyAlignment="1">
      <alignment horizontal="centerContinuous" vertical="center"/>
    </xf>
    <xf numFmtId="0" fontId="6" fillId="0" borderId="20" xfId="58" applyFont="1" applyBorder="1" applyAlignment="1">
      <alignment horizontal="center" vertical="center"/>
    </xf>
    <xf numFmtId="0" fontId="6" fillId="0" borderId="30" xfId="58" applyFont="1" applyBorder="1" applyAlignment="1">
      <alignment horizontal="centerContinuous" vertical="center"/>
    </xf>
    <xf numFmtId="0" fontId="3" fillId="0" borderId="26" xfId="58" applyFont="1" applyBorder="1" applyAlignment="1">
      <alignment horizontal="center"/>
    </xf>
    <xf numFmtId="0" fontId="20" fillId="0" borderId="27" xfId="58" applyFont="1" applyBorder="1" applyAlignment="1">
      <alignment horizontal="center"/>
    </xf>
    <xf numFmtId="0" fontId="20" fillId="0" borderId="28" xfId="58" applyFont="1" applyBorder="1" applyAlignment="1">
      <alignment horizontal="center"/>
    </xf>
    <xf numFmtId="0" fontId="20" fillId="0" borderId="29" xfId="58" applyFont="1" applyBorder="1" applyAlignment="1">
      <alignment horizontal="center"/>
    </xf>
    <xf numFmtId="0" fontId="6" fillId="0" borderId="21" xfId="58" applyFont="1" applyBorder="1" applyAlignment="1">
      <alignment horizontal="right" vertical="center"/>
    </xf>
    <xf numFmtId="0" fontId="3" fillId="0" borderId="24" xfId="58" applyFont="1" applyBorder="1" applyAlignment="1">
      <alignment horizontal="center"/>
    </xf>
    <xf numFmtId="0" fontId="2" fillId="0" borderId="0" xfId="57" applyFont="1" applyAlignment="1">
      <alignment horizontal="left" vertical="top"/>
    </xf>
    <xf numFmtId="0" fontId="3" fillId="0" borderId="0" xfId="57" applyFont="1" applyAlignment="1">
      <alignment horizontal="center"/>
    </xf>
    <xf numFmtId="0" fontId="3" fillId="0" borderId="0" xfId="57" applyFont="1"/>
    <xf numFmtId="0" fontId="3" fillId="0" borderId="0" xfId="57" applyFont="1" applyAlignment="1">
      <alignment horizontal="left"/>
    </xf>
    <xf numFmtId="0" fontId="3" fillId="0" borderId="10" xfId="57" applyFont="1" applyBorder="1" applyAlignment="1">
      <alignment horizontal="centerContinuous"/>
    </xf>
    <xf numFmtId="0" fontId="3" fillId="0" borderId="11" xfId="57" applyFont="1" applyBorder="1" applyAlignment="1">
      <alignment horizontal="center"/>
    </xf>
    <xf numFmtId="0" fontId="6" fillId="0" borderId="12" xfId="57" applyFont="1" applyBorder="1" applyAlignment="1">
      <alignment horizontal="centerContinuous" vertical="center"/>
    </xf>
    <xf numFmtId="0" fontId="3" fillId="0" borderId="12" xfId="57" applyFont="1" applyBorder="1" applyAlignment="1">
      <alignment horizontal="centerContinuous" vertical="center"/>
    </xf>
    <xf numFmtId="0" fontId="3" fillId="0" borderId="25" xfId="57" applyFont="1" applyBorder="1" applyAlignment="1">
      <alignment horizontal="centerContinuous" vertical="center"/>
    </xf>
    <xf numFmtId="0" fontId="6" fillId="0" borderId="20" xfId="57" applyFont="1" applyBorder="1" applyAlignment="1">
      <alignment horizontal="center" vertical="center"/>
    </xf>
    <xf numFmtId="0" fontId="3" fillId="0" borderId="26" xfId="57" applyFont="1" applyBorder="1" applyAlignment="1">
      <alignment horizontal="center"/>
    </xf>
    <xf numFmtId="0" fontId="6" fillId="0" borderId="21" xfId="57" applyFont="1" applyBorder="1" applyAlignment="1">
      <alignment horizontal="right" vertical="center"/>
    </xf>
    <xf numFmtId="0" fontId="3" fillId="0" borderId="24" xfId="57" applyFont="1" applyBorder="1" applyAlignment="1">
      <alignment horizontal="center"/>
    </xf>
    <xf numFmtId="0" fontId="3" fillId="0" borderId="0" xfId="56" applyFont="1"/>
    <xf numFmtId="0" fontId="3" fillId="0" borderId="10" xfId="56" applyFont="1" applyBorder="1" applyAlignment="1">
      <alignment horizontal="centerContinuous"/>
    </xf>
    <xf numFmtId="0" fontId="3" fillId="0" borderId="11" xfId="56" applyFont="1" applyBorder="1" applyAlignment="1">
      <alignment horizontal="center"/>
    </xf>
    <xf numFmtId="0" fontId="3" fillId="0" borderId="12" xfId="56" applyFont="1" applyBorder="1" applyAlignment="1">
      <alignment horizontal="centerContinuous" vertical="center"/>
    </xf>
    <xf numFmtId="0" fontId="3" fillId="0" borderId="25" xfId="56" applyFont="1" applyBorder="1" applyAlignment="1">
      <alignment horizontal="centerContinuous" vertical="center"/>
    </xf>
    <xf numFmtId="0" fontId="6" fillId="0" borderId="20" xfId="56" applyFont="1" applyBorder="1" applyAlignment="1">
      <alignment horizontal="center" vertical="center"/>
    </xf>
    <xf numFmtId="0" fontId="3" fillId="0" borderId="26" xfId="56" applyFont="1" applyBorder="1" applyAlignment="1">
      <alignment horizontal="center"/>
    </xf>
    <xf numFmtId="0" fontId="6" fillId="0" borderId="21" xfId="56" applyFont="1" applyBorder="1" applyAlignment="1">
      <alignment horizontal="right" vertical="center"/>
    </xf>
    <xf numFmtId="0" fontId="3" fillId="0" borderId="24" xfId="56" applyFont="1" applyBorder="1" applyAlignment="1">
      <alignment horizontal="center"/>
    </xf>
    <xf numFmtId="0" fontId="3" fillId="0" borderId="0" xfId="56" applyFont="1" applyAlignment="1">
      <alignment horizontal="center"/>
    </xf>
    <xf numFmtId="0" fontId="3" fillId="0" borderId="14" xfId="0" applyFont="1" applyBorder="1" applyAlignment="1">
      <alignment horizontal="centerContinuous" vertical="center"/>
    </xf>
    <xf numFmtId="0" fontId="24" fillId="0" borderId="0" xfId="0" applyFont="1"/>
    <xf numFmtId="0" fontId="3" fillId="0" borderId="31" xfId="0" applyFont="1" applyBorder="1" applyAlignment="1">
      <alignment horizontal="center"/>
    </xf>
    <xf numFmtId="0" fontId="3" fillId="0" borderId="0" xfId="0" applyFont="1" applyAlignment="1">
      <alignment vertical="center"/>
    </xf>
    <xf numFmtId="0" fontId="3" fillId="0" borderId="32" xfId="0" applyFont="1" applyBorder="1" applyAlignment="1">
      <alignment horizontal="centerContinuous" vertical="center"/>
    </xf>
    <xf numFmtId="0" fontId="0" fillId="0" borderId="0" xfId="0" applyAlignment="1">
      <alignment horizontal="center"/>
    </xf>
    <xf numFmtId="0" fontId="5" fillId="0" borderId="0" xfId="0" applyFont="1"/>
    <xf numFmtId="0" fontId="6" fillId="0" borderId="33" xfId="0" applyFont="1" applyBorder="1" applyAlignment="1">
      <alignment horizontal="center" vertical="center"/>
    </xf>
    <xf numFmtId="0" fontId="14" fillId="0" borderId="34" xfId="0" applyFont="1" applyBorder="1" applyAlignment="1">
      <alignment horizontal="justify"/>
    </xf>
    <xf numFmtId="0" fontId="29" fillId="0" borderId="0" xfId="0" applyFont="1"/>
    <xf numFmtId="0" fontId="14" fillId="0" borderId="35" xfId="0" applyFont="1" applyBorder="1" applyAlignment="1">
      <alignment horizontal="justify"/>
    </xf>
    <xf numFmtId="0" fontId="14" fillId="0" borderId="34" xfId="0" applyFont="1" applyBorder="1" applyAlignment="1">
      <alignment horizontal="left"/>
    </xf>
    <xf numFmtId="0" fontId="14" fillId="0" borderId="34" xfId="0" applyFont="1" applyBorder="1" applyAlignment="1">
      <alignment horizontal="justify" wrapText="1"/>
    </xf>
    <xf numFmtId="0" fontId="14" fillId="0" borderId="34" xfId="0" applyFont="1" applyBorder="1" applyAlignment="1">
      <alignment wrapText="1"/>
    </xf>
    <xf numFmtId="0" fontId="6" fillId="0" borderId="36" xfId="0" applyFont="1" applyBorder="1" applyAlignment="1">
      <alignment horizontal="centerContinuous" vertical="center" wrapText="1"/>
    </xf>
    <xf numFmtId="0" fontId="6" fillId="0" borderId="26" xfId="0" applyFont="1" applyBorder="1" applyAlignment="1">
      <alignment horizontal="center" vertical="center"/>
    </xf>
    <xf numFmtId="0" fontId="3" fillId="0" borderId="29" xfId="0" applyFont="1" applyBorder="1" applyAlignment="1">
      <alignment horizontal="centerContinuous" vertical="center"/>
    </xf>
    <xf numFmtId="0" fontId="6" fillId="0" borderId="21" xfId="0" applyFont="1" applyBorder="1" applyAlignment="1">
      <alignment horizontal="right" vertical="center"/>
    </xf>
    <xf numFmtId="0" fontId="3" fillId="0" borderId="24" xfId="0" applyFont="1" applyBorder="1" applyAlignment="1">
      <alignment horizontal="center"/>
    </xf>
    <xf numFmtId="0" fontId="3" fillId="0" borderId="25" xfId="0" applyFont="1" applyBorder="1" applyAlignment="1">
      <alignment horizontal="centerContinuous" vertical="center"/>
    </xf>
    <xf numFmtId="0" fontId="6" fillId="0" borderId="20" xfId="0" applyFont="1" applyBorder="1" applyAlignment="1">
      <alignment horizontal="center" vertical="center"/>
    </xf>
    <xf numFmtId="0" fontId="14" fillId="0" borderId="30" xfId="0" applyFont="1" applyBorder="1" applyAlignment="1">
      <alignment horizontal="centerContinuous" vertical="center" wrapText="1"/>
    </xf>
    <xf numFmtId="0" fontId="6" fillId="0" borderId="12" xfId="0" applyFont="1" applyBorder="1" applyAlignment="1">
      <alignment horizontal="centerContinuous" vertical="center"/>
    </xf>
    <xf numFmtId="0" fontId="6" fillId="0" borderId="37" xfId="0" applyFont="1" applyBorder="1" applyAlignment="1">
      <alignment horizontal="centerContinuous" vertical="center" wrapText="1"/>
    </xf>
    <xf numFmtId="0" fontId="6" fillId="0" borderId="38" xfId="0" applyFont="1" applyBorder="1" applyAlignment="1">
      <alignment horizontal="centerContinuous" vertical="center" wrapText="1"/>
    </xf>
    <xf numFmtId="0" fontId="6" fillId="0" borderId="30" xfId="0" applyFont="1" applyBorder="1" applyAlignment="1">
      <alignment horizontal="centerContinuous" vertical="center" wrapText="1"/>
    </xf>
    <xf numFmtId="0" fontId="6" fillId="0" borderId="39" xfId="0" applyFont="1" applyBorder="1" applyAlignment="1">
      <alignment horizontal="centerContinuous" vertical="center" wrapText="1"/>
    </xf>
    <xf numFmtId="0" fontId="6" fillId="0" borderId="40" xfId="0" applyFont="1" applyBorder="1" applyAlignment="1">
      <alignment horizontal="centerContinuous" vertical="center" wrapText="1"/>
    </xf>
    <xf numFmtId="0" fontId="3" fillId="0" borderId="31" xfId="0" applyFont="1" applyBorder="1" applyAlignment="1">
      <alignment horizontal="left"/>
    </xf>
    <xf numFmtId="0" fontId="6" fillId="0" borderId="39" xfId="58" applyFont="1" applyBorder="1" applyAlignment="1">
      <alignment horizontal="centerContinuous" vertical="center"/>
    </xf>
    <xf numFmtId="0" fontId="14" fillId="0" borderId="35" xfId="0" applyFont="1" applyBorder="1" applyAlignment="1">
      <alignment horizontal="justify" wrapText="1"/>
    </xf>
    <xf numFmtId="0" fontId="13" fillId="24" borderId="41" xfId="56" applyFont="1" applyFill="1" applyBorder="1" applyAlignment="1">
      <alignment horizontal="centerContinuous" vertical="center"/>
    </xf>
    <xf numFmtId="0" fontId="3" fillId="24" borderId="12" xfId="56" applyFont="1" applyFill="1" applyBorder="1" applyAlignment="1">
      <alignment horizontal="centerContinuous" vertical="center"/>
    </xf>
    <xf numFmtId="0" fontId="3" fillId="24" borderId="25" xfId="56" applyFont="1" applyFill="1" applyBorder="1" applyAlignment="1">
      <alignment horizontal="centerContinuous" vertical="center"/>
    </xf>
    <xf numFmtId="0" fontId="21" fillId="24" borderId="42" xfId="56" applyFont="1" applyFill="1" applyBorder="1" applyAlignment="1">
      <alignment horizontal="centerContinuous" vertical="center" wrapText="1"/>
    </xf>
    <xf numFmtId="0" fontId="21" fillId="24" borderId="39" xfId="56" applyFont="1" applyFill="1" applyBorder="1" applyAlignment="1">
      <alignment horizontal="centerContinuous" vertical="center"/>
    </xf>
    <xf numFmtId="0" fontId="21" fillId="24" borderId="39" xfId="57" applyFont="1" applyFill="1" applyBorder="1" applyAlignment="1">
      <alignment horizontal="centerContinuous" vertical="center"/>
    </xf>
    <xf numFmtId="0" fontId="21" fillId="24" borderId="30" xfId="57" applyFont="1" applyFill="1" applyBorder="1" applyAlignment="1">
      <alignment horizontal="centerContinuous" vertical="center"/>
    </xf>
    <xf numFmtId="0" fontId="20" fillId="24" borderId="43" xfId="56" applyFont="1" applyFill="1" applyBorder="1" applyAlignment="1">
      <alignment horizontal="center"/>
    </xf>
    <xf numFmtId="0" fontId="20" fillId="24" borderId="29" xfId="56" applyFont="1" applyFill="1" applyBorder="1" applyAlignment="1">
      <alignment horizontal="center"/>
    </xf>
    <xf numFmtId="0" fontId="20" fillId="24" borderId="27" xfId="56" applyFont="1" applyFill="1" applyBorder="1" applyAlignment="1">
      <alignment horizontal="center"/>
    </xf>
    <xf numFmtId="0" fontId="20" fillId="24" borderId="43" xfId="57" applyFont="1" applyFill="1" applyBorder="1" applyAlignment="1">
      <alignment horizontal="center"/>
    </xf>
    <xf numFmtId="0" fontId="20" fillId="24" borderId="29" xfId="57" applyFont="1" applyFill="1" applyBorder="1" applyAlignment="1">
      <alignment horizontal="center"/>
    </xf>
    <xf numFmtId="0" fontId="20" fillId="24" borderId="27" xfId="57" applyFont="1" applyFill="1" applyBorder="1" applyAlignment="1">
      <alignment horizontal="center"/>
    </xf>
    <xf numFmtId="0" fontId="3" fillId="0" borderId="44" xfId="0" applyFont="1" applyBorder="1" applyAlignment="1">
      <alignment horizontal="center"/>
    </xf>
    <xf numFmtId="0" fontId="3" fillId="0" borderId="45" xfId="0" applyFont="1" applyBorder="1" applyAlignment="1">
      <alignment horizontal="left"/>
    </xf>
    <xf numFmtId="0" fontId="6" fillId="0" borderId="46" xfId="0" applyFont="1" applyBorder="1" applyAlignment="1">
      <alignment horizontal="right" vertical="center"/>
    </xf>
    <xf numFmtId="0" fontId="6" fillId="0" borderId="0" xfId="59" applyFont="1" applyAlignment="1">
      <alignment horizontal="right" vertical="center"/>
    </xf>
    <xf numFmtId="0" fontId="3" fillId="24" borderId="0" xfId="59" applyFont="1" applyFill="1"/>
    <xf numFmtId="0" fontId="24" fillId="0" borderId="47" xfId="0" applyFont="1" applyBorder="1" applyAlignment="1">
      <alignment horizontal="center"/>
    </xf>
    <xf numFmtId="0" fontId="24" fillId="0" borderId="31" xfId="0" applyFont="1" applyBorder="1" applyAlignment="1">
      <alignment horizontal="center"/>
    </xf>
    <xf numFmtId="0" fontId="24" fillId="0" borderId="48" xfId="0" applyFont="1" applyBorder="1" applyAlignment="1">
      <alignment horizontal="center"/>
    </xf>
    <xf numFmtId="0" fontId="3" fillId="0" borderId="0" xfId="0" applyFont="1" applyAlignment="1">
      <alignment textRotation="255"/>
    </xf>
    <xf numFmtId="0" fontId="13" fillId="0" borderId="49" xfId="0" applyFont="1" applyBorder="1" applyAlignment="1">
      <alignment horizontal="right"/>
    </xf>
    <xf numFmtId="0" fontId="6" fillId="0" borderId="50" xfId="59" applyFont="1" applyBorder="1" applyAlignment="1">
      <alignment horizontal="center" vertical="center"/>
    </xf>
    <xf numFmtId="0" fontId="6" fillId="0" borderId="50" xfId="59" applyFont="1" applyBorder="1" applyAlignment="1">
      <alignment vertical="center"/>
    </xf>
    <xf numFmtId="0" fontId="34" fillId="0" borderId="24" xfId="56" applyFont="1" applyBorder="1" applyAlignment="1">
      <alignment horizontal="center"/>
    </xf>
    <xf numFmtId="0" fontId="34" fillId="0" borderId="0" xfId="0" applyFont="1" applyAlignment="1">
      <alignment horizontal="center"/>
    </xf>
    <xf numFmtId="0" fontId="34" fillId="0" borderId="0" xfId="56" applyFont="1" applyAlignment="1">
      <alignment horizontal="center"/>
    </xf>
    <xf numFmtId="0" fontId="35" fillId="0" borderId="0" xfId="0" applyFont="1"/>
    <xf numFmtId="0" fontId="24" fillId="0" borderId="51" xfId="0" applyFont="1" applyBorder="1" applyAlignment="1">
      <alignment horizontal="center"/>
    </xf>
    <xf numFmtId="0" fontId="24" fillId="0" borderId="52" xfId="0" applyFont="1" applyBorder="1" applyAlignment="1">
      <alignment horizontal="center"/>
    </xf>
    <xf numFmtId="0" fontId="24" fillId="0" borderId="53" xfId="0" applyFont="1" applyBorder="1" applyAlignment="1">
      <alignment horizontal="center"/>
    </xf>
    <xf numFmtId="0" fontId="14" fillId="0" borderId="35" xfId="0" applyFont="1" applyBorder="1" applyAlignment="1">
      <alignment wrapText="1"/>
    </xf>
    <xf numFmtId="0" fontId="14" fillId="0" borderId="45" xfId="0" applyFont="1" applyBorder="1" applyAlignment="1">
      <alignment horizontal="justify" wrapText="1"/>
    </xf>
    <xf numFmtId="0" fontId="3" fillId="0" borderId="54" xfId="0" applyFont="1" applyBorder="1" applyAlignment="1">
      <alignment horizontal="center"/>
    </xf>
    <xf numFmtId="0" fontId="13" fillId="0" borderId="31" xfId="0" applyFont="1" applyBorder="1" applyAlignment="1">
      <alignment horizontal="center"/>
    </xf>
    <xf numFmtId="0" fontId="13" fillId="0" borderId="31" xfId="0" applyFont="1" applyBorder="1" applyAlignment="1">
      <alignment horizontal="center" wrapText="1"/>
    </xf>
    <xf numFmtId="0" fontId="3" fillId="0" borderId="31" xfId="0" applyFont="1" applyBorder="1"/>
    <xf numFmtId="0" fontId="10" fillId="0" borderId="31" xfId="0" applyFont="1" applyBorder="1" applyAlignment="1">
      <alignment horizontal="center" vertical="center"/>
    </xf>
    <xf numFmtId="0" fontId="13" fillId="0" borderId="31" xfId="0" applyFont="1" applyBorder="1" applyAlignment="1">
      <alignment horizontal="center" vertical="center"/>
    </xf>
    <xf numFmtId="0" fontId="13" fillId="0" borderId="31" xfId="0" applyFont="1" applyBorder="1" applyAlignment="1">
      <alignment horizontal="center" vertical="center" wrapText="1"/>
    </xf>
    <xf numFmtId="0" fontId="13" fillId="0" borderId="55" xfId="0" applyFont="1" applyBorder="1" applyAlignment="1">
      <alignment horizontal="center"/>
    </xf>
    <xf numFmtId="0" fontId="10" fillId="0" borderId="47" xfId="0" applyFont="1" applyBorder="1" applyAlignment="1">
      <alignment horizontal="center" wrapText="1"/>
    </xf>
    <xf numFmtId="0" fontId="11" fillId="0" borderId="31" xfId="0" applyFont="1" applyBorder="1" applyAlignment="1">
      <alignment horizontal="center"/>
    </xf>
    <xf numFmtId="0" fontId="13" fillId="0" borderId="47" xfId="0" applyFont="1" applyBorder="1" applyAlignment="1">
      <alignment horizontal="center" vertical="center" wrapText="1"/>
    </xf>
    <xf numFmtId="0" fontId="22" fillId="0" borderId="31" xfId="0" applyFont="1" applyBorder="1" applyAlignment="1">
      <alignment horizontal="center" wrapText="1"/>
    </xf>
    <xf numFmtId="0" fontId="10" fillId="0" borderId="31" xfId="0" applyFont="1" applyBorder="1" applyAlignment="1">
      <alignment horizontal="center"/>
    </xf>
    <xf numFmtId="0" fontId="10" fillId="0" borderId="31" xfId="0" applyFont="1" applyBorder="1" applyAlignment="1">
      <alignment horizontal="center" wrapText="1"/>
    </xf>
    <xf numFmtId="0" fontId="3" fillId="0" borderId="56" xfId="0" applyFont="1" applyBorder="1" applyAlignment="1">
      <alignment horizontal="center"/>
    </xf>
    <xf numFmtId="0" fontId="11" fillId="0" borderId="31" xfId="0" applyFont="1" applyBorder="1"/>
    <xf numFmtId="0" fontId="11" fillId="0" borderId="0" xfId="0" applyFont="1"/>
    <xf numFmtId="0" fontId="10" fillId="0" borderId="31" xfId="0" applyFont="1" applyBorder="1" applyAlignment="1">
      <alignment horizontal="center" vertical="center" wrapText="1"/>
    </xf>
    <xf numFmtId="0" fontId="3" fillId="0" borderId="0" xfId="0" applyFont="1" applyAlignment="1">
      <alignment horizontal="center" vertical="center" wrapText="1"/>
    </xf>
    <xf numFmtId="0" fontId="23" fillId="0" borderId="0" xfId="0" applyFont="1"/>
    <xf numFmtId="0" fontId="11" fillId="0" borderId="0" xfId="0" applyFont="1" applyAlignment="1">
      <alignment horizontal="center" vertical="center" wrapText="1"/>
    </xf>
    <xf numFmtId="0" fontId="36" fillId="0" borderId="0" xfId="0" applyFont="1" applyAlignment="1">
      <alignment horizontal="center"/>
    </xf>
    <xf numFmtId="0" fontId="36" fillId="0" borderId="0" xfId="0" applyFont="1"/>
    <xf numFmtId="0" fontId="14" fillId="0" borderId="45" xfId="0" applyFont="1" applyBorder="1" applyAlignment="1">
      <alignment horizontal="left"/>
    </xf>
    <xf numFmtId="0" fontId="14" fillId="0" borderId="57" xfId="0" applyFont="1" applyBorder="1" applyAlignment="1">
      <alignment horizontal="left"/>
    </xf>
    <xf numFmtId="3" fontId="13" fillId="0" borderId="58" xfId="0" applyNumberFormat="1" applyFont="1" applyBorder="1" applyAlignment="1">
      <alignment horizontal="center"/>
    </xf>
    <xf numFmtId="3" fontId="13" fillId="0" borderId="59" xfId="0" applyNumberFormat="1" applyFont="1" applyBorder="1" applyAlignment="1">
      <alignment horizontal="center"/>
    </xf>
    <xf numFmtId="3" fontId="3" fillId="24" borderId="31" xfId="0" applyNumberFormat="1" applyFont="1" applyFill="1" applyBorder="1" applyAlignment="1">
      <alignment horizontal="center"/>
    </xf>
    <xf numFmtId="3" fontId="3" fillId="24" borderId="48" xfId="0" applyNumberFormat="1" applyFont="1" applyFill="1" applyBorder="1" applyAlignment="1">
      <alignment horizontal="center"/>
    </xf>
    <xf numFmtId="0" fontId="13" fillId="0" borderId="54" xfId="0" applyFont="1" applyBorder="1" applyAlignment="1">
      <alignment horizontal="center"/>
    </xf>
    <xf numFmtId="0" fontId="13" fillId="0" borderId="60" xfId="0" applyFont="1" applyBorder="1" applyAlignment="1">
      <alignment horizontal="center"/>
    </xf>
    <xf numFmtId="0" fontId="13" fillId="0" borderId="61" xfId="0" applyFont="1" applyBorder="1" applyAlignment="1">
      <alignment horizontal="center"/>
    </xf>
    <xf numFmtId="3" fontId="3" fillId="0" borderId="62" xfId="0" applyNumberFormat="1" applyFont="1" applyBorder="1" applyProtection="1">
      <protection locked="0"/>
    </xf>
    <xf numFmtId="3" fontId="3" fillId="0" borderId="63" xfId="0" applyNumberFormat="1" applyFont="1" applyBorder="1" applyProtection="1">
      <protection locked="0"/>
    </xf>
    <xf numFmtId="4" fontId="3" fillId="0" borderId="62" xfId="0" applyNumberFormat="1" applyFont="1" applyBorder="1" applyProtection="1">
      <protection locked="0"/>
    </xf>
    <xf numFmtId="3" fontId="3" fillId="0" borderId="64" xfId="0" applyNumberFormat="1" applyFont="1" applyBorder="1" applyProtection="1">
      <protection locked="0"/>
    </xf>
    <xf numFmtId="3" fontId="3" fillId="0" borderId="65" xfId="0" applyNumberFormat="1" applyFont="1" applyBorder="1" applyProtection="1">
      <protection locked="0"/>
    </xf>
    <xf numFmtId="3" fontId="3" fillId="0" borderId="66" xfId="0" applyNumberFormat="1" applyFont="1" applyBorder="1" applyProtection="1">
      <protection locked="0"/>
    </xf>
    <xf numFmtId="3" fontId="15" fillId="0" borderId="67" xfId="0" applyNumberFormat="1" applyFont="1" applyBorder="1" applyProtection="1">
      <protection locked="0"/>
    </xf>
    <xf numFmtId="0" fontId="14" fillId="0" borderId="18" xfId="0" applyFont="1" applyBorder="1" applyAlignment="1">
      <alignment horizontal="justify"/>
    </xf>
    <xf numFmtId="0" fontId="13" fillId="0" borderId="68" xfId="0" applyFont="1" applyBorder="1" applyAlignment="1">
      <alignment horizontal="center" vertical="center" wrapText="1"/>
    </xf>
    <xf numFmtId="0" fontId="13" fillId="0" borderId="69" xfId="0" applyFont="1" applyBorder="1" applyAlignment="1">
      <alignment horizontal="center" vertical="center" wrapText="1"/>
    </xf>
    <xf numFmtId="0" fontId="13" fillId="0" borderId="70" xfId="0" applyFont="1" applyBorder="1" applyAlignment="1">
      <alignment horizontal="center" vertical="center" wrapText="1"/>
    </xf>
    <xf numFmtId="0" fontId="13" fillId="0" borderId="71" xfId="0" applyFont="1" applyBorder="1" applyAlignment="1">
      <alignment horizontal="right"/>
    </xf>
    <xf numFmtId="0" fontId="3" fillId="0" borderId="13" xfId="0" applyFont="1" applyBorder="1" applyAlignment="1">
      <alignment horizontal="center" vertical="center"/>
    </xf>
    <xf numFmtId="0" fontId="3" fillId="0" borderId="72" xfId="0" applyFont="1" applyBorder="1" applyAlignment="1">
      <alignment horizontal="center" vertical="center"/>
    </xf>
    <xf numFmtId="0" fontId="3" fillId="0" borderId="73" xfId="0" applyFont="1" applyBorder="1" applyAlignment="1">
      <alignment horizontal="center"/>
    </xf>
    <xf numFmtId="3" fontId="3" fillId="0" borderId="18" xfId="56" applyNumberFormat="1" applyFont="1" applyBorder="1" applyProtection="1">
      <protection locked="0"/>
    </xf>
    <xf numFmtId="3" fontId="3" fillId="0" borderId="74" xfId="56" applyNumberFormat="1" applyFont="1" applyBorder="1" applyProtection="1">
      <protection locked="0"/>
    </xf>
    <xf numFmtId="3" fontId="3" fillId="0" borderId="62" xfId="56" applyNumberFormat="1" applyFont="1" applyBorder="1" applyProtection="1">
      <protection locked="0"/>
    </xf>
    <xf numFmtId="3" fontId="3" fillId="0" borderId="18" xfId="57" applyNumberFormat="1" applyFont="1" applyBorder="1" applyProtection="1">
      <protection locked="0"/>
    </xf>
    <xf numFmtId="3" fontId="3" fillId="0" borderId="74" xfId="57" applyNumberFormat="1" applyFont="1" applyBorder="1" applyProtection="1">
      <protection locked="0"/>
    </xf>
    <xf numFmtId="3" fontId="3" fillId="0" borderId="62" xfId="57" applyNumberFormat="1" applyFont="1" applyBorder="1" applyProtection="1">
      <protection locked="0"/>
    </xf>
    <xf numFmtId="3" fontId="3" fillId="0" borderId="44" xfId="56" applyNumberFormat="1" applyFont="1" applyBorder="1" applyProtection="1">
      <protection locked="0"/>
    </xf>
    <xf numFmtId="3" fontId="3" fillId="0" borderId="55" xfId="56" applyNumberFormat="1" applyFont="1" applyBorder="1" applyProtection="1">
      <protection locked="0"/>
    </xf>
    <xf numFmtId="3" fontId="3" fillId="0" borderId="75" xfId="56" applyNumberFormat="1" applyFont="1" applyBorder="1" applyProtection="1">
      <protection locked="0"/>
    </xf>
    <xf numFmtId="3" fontId="3" fillId="0" borderId="62" xfId="58" applyNumberFormat="1" applyFont="1" applyBorder="1" applyProtection="1">
      <protection locked="0"/>
    </xf>
    <xf numFmtId="3" fontId="3" fillId="0" borderId="44" xfId="58" applyNumberFormat="1" applyFont="1" applyBorder="1" applyProtection="1">
      <protection locked="0"/>
    </xf>
    <xf numFmtId="3" fontId="3" fillId="0" borderId="74" xfId="58" applyNumberFormat="1" applyFont="1" applyBorder="1" applyProtection="1">
      <protection locked="0"/>
    </xf>
    <xf numFmtId="3" fontId="3" fillId="0" borderId="54" xfId="58" applyNumberFormat="1" applyFont="1" applyBorder="1" applyProtection="1">
      <protection locked="0"/>
    </xf>
    <xf numFmtId="3" fontId="3" fillId="0" borderId="55" xfId="58" applyNumberFormat="1" applyFont="1" applyBorder="1" applyProtection="1">
      <protection locked="0"/>
    </xf>
    <xf numFmtId="3" fontId="3" fillId="0" borderId="76" xfId="58" applyNumberFormat="1" applyFont="1" applyBorder="1" applyProtection="1">
      <protection locked="0"/>
    </xf>
    <xf numFmtId="0" fontId="20" fillId="0" borderId="27" xfId="0" applyFont="1" applyBorder="1" applyAlignment="1">
      <alignment horizontal="center"/>
    </xf>
    <xf numFmtId="0" fontId="20" fillId="0" borderId="28" xfId="0" applyFont="1" applyBorder="1" applyAlignment="1">
      <alignment horizontal="center"/>
    </xf>
    <xf numFmtId="0" fontId="25" fillId="0" borderId="77" xfId="0" applyFont="1" applyBorder="1" applyAlignment="1">
      <alignment horizontal="center" textRotation="255" wrapText="1"/>
    </xf>
    <xf numFmtId="0" fontId="25" fillId="0" borderId="77" xfId="0" quotePrefix="1" applyFont="1" applyBorder="1" applyAlignment="1">
      <alignment horizontal="center" textRotation="255" wrapText="1"/>
    </xf>
    <xf numFmtId="3" fontId="3" fillId="0" borderId="55" xfId="0" applyNumberFormat="1" applyFont="1" applyBorder="1" applyProtection="1">
      <protection locked="0"/>
    </xf>
    <xf numFmtId="3" fontId="3" fillId="0" borderId="47" xfId="0" applyNumberFormat="1" applyFont="1" applyBorder="1" applyProtection="1">
      <protection locked="0"/>
    </xf>
    <xf numFmtId="3" fontId="3" fillId="0" borderId="44" xfId="0" applyNumberFormat="1" applyFont="1" applyBorder="1" applyProtection="1">
      <protection locked="0"/>
    </xf>
    <xf numFmtId="3" fontId="3" fillId="0" borderId="31" xfId="0" applyNumberFormat="1" applyFont="1" applyBorder="1" applyProtection="1">
      <protection locked="0"/>
    </xf>
    <xf numFmtId="3" fontId="3" fillId="0" borderId="56" xfId="0" applyNumberFormat="1" applyFont="1" applyBorder="1" applyProtection="1">
      <protection locked="0"/>
    </xf>
    <xf numFmtId="3" fontId="3" fillId="0" borderId="73" xfId="0" applyNumberFormat="1" applyFont="1" applyBorder="1" applyProtection="1">
      <protection locked="0"/>
    </xf>
    <xf numFmtId="3" fontId="3" fillId="0" borderId="62" xfId="59" applyNumberFormat="1" applyFont="1" applyBorder="1" applyProtection="1">
      <protection locked="0"/>
    </xf>
    <xf numFmtId="3" fontId="3" fillId="0" borderId="44" xfId="59" applyNumberFormat="1" applyFont="1" applyBorder="1" applyProtection="1">
      <protection locked="0"/>
    </xf>
    <xf numFmtId="3" fontId="3" fillId="0" borderId="74" xfId="59" applyNumberFormat="1" applyFont="1" applyBorder="1" applyProtection="1">
      <protection locked="0"/>
    </xf>
    <xf numFmtId="3" fontId="3" fillId="0" borderId="54" xfId="59" applyNumberFormat="1" applyFont="1" applyBorder="1" applyProtection="1">
      <protection locked="0"/>
    </xf>
    <xf numFmtId="3" fontId="3" fillId="0" borderId="55" xfId="59" applyNumberFormat="1" applyFont="1" applyBorder="1" applyProtection="1">
      <protection locked="0"/>
    </xf>
    <xf numFmtId="0" fontId="13" fillId="0" borderId="11" xfId="60" applyFont="1" applyBorder="1" applyAlignment="1">
      <alignment horizontal="center"/>
    </xf>
    <xf numFmtId="0" fontId="39" fillId="0" borderId="27" xfId="0" applyFont="1" applyBorder="1" applyAlignment="1">
      <alignment horizontal="center"/>
    </xf>
    <xf numFmtId="0" fontId="39" fillId="0" borderId="28" xfId="0" applyFont="1" applyBorder="1" applyAlignment="1">
      <alignment horizontal="center"/>
    </xf>
    <xf numFmtId="0" fontId="39" fillId="0" borderId="29" xfId="0" applyFont="1" applyBorder="1" applyAlignment="1">
      <alignment horizontal="center"/>
    </xf>
    <xf numFmtId="0" fontId="39" fillId="0" borderId="78" xfId="0" applyFont="1" applyBorder="1" applyAlignment="1">
      <alignment horizontal="center"/>
    </xf>
    <xf numFmtId="0" fontId="39" fillId="0" borderId="0" xfId="0" applyFont="1"/>
    <xf numFmtId="0" fontId="3" fillId="0" borderId="14" xfId="0" applyFont="1" applyBorder="1"/>
    <xf numFmtId="0" fontId="3" fillId="0" borderId="32" xfId="0" applyFont="1" applyBorder="1"/>
    <xf numFmtId="3" fontId="3" fillId="0" borderId="75" xfId="61" applyNumberFormat="1" applyFont="1" applyBorder="1" applyProtection="1">
      <protection locked="0"/>
    </xf>
    <xf numFmtId="3" fontId="3" fillId="0" borderId="73" xfId="61" applyNumberFormat="1" applyFont="1" applyBorder="1" applyProtection="1">
      <protection locked="0"/>
    </xf>
    <xf numFmtId="0" fontId="18" fillId="0" borderId="79" xfId="61" applyFont="1" applyBorder="1" applyAlignment="1">
      <alignment horizontal="centerContinuous" vertical="center"/>
    </xf>
    <xf numFmtId="0" fontId="10" fillId="0" borderId="10" xfId="60" applyFont="1" applyBorder="1" applyAlignment="1">
      <alignment horizontal="centerContinuous"/>
    </xf>
    <xf numFmtId="0" fontId="10" fillId="0" borderId="80" xfId="59" applyFont="1" applyBorder="1" applyAlignment="1">
      <alignment horizontal="center" vertical="center"/>
    </xf>
    <xf numFmtId="0" fontId="10" fillId="0" borderId="80" xfId="58" applyFont="1" applyBorder="1" applyAlignment="1">
      <alignment horizontal="center" vertical="center"/>
    </xf>
    <xf numFmtId="0" fontId="10" fillId="0" borderId="80" xfId="57" applyFont="1" applyBorder="1" applyAlignment="1">
      <alignment horizontal="center" vertical="center"/>
    </xf>
    <xf numFmtId="0" fontId="10" fillId="0" borderId="80" xfId="56" applyFont="1" applyBorder="1" applyAlignment="1">
      <alignment horizontal="center" vertical="center"/>
    </xf>
    <xf numFmtId="0" fontId="10" fillId="0" borderId="20" xfId="56" applyFont="1" applyBorder="1" applyAlignment="1">
      <alignment horizontal="center" vertical="center"/>
    </xf>
    <xf numFmtId="0" fontId="11" fillId="0" borderId="26" xfId="56" applyFont="1" applyBorder="1" applyAlignment="1">
      <alignment horizontal="center"/>
    </xf>
    <xf numFmtId="0" fontId="11" fillId="0" borderId="81" xfId="0" applyFont="1" applyBorder="1" applyAlignment="1">
      <alignment horizontal="center"/>
    </xf>
    <xf numFmtId="0" fontId="39" fillId="0" borderId="82" xfId="61" applyFont="1" applyBorder="1" applyAlignment="1">
      <alignment horizontal="center"/>
    </xf>
    <xf numFmtId="0" fontId="39" fillId="0" borderId="83" xfId="61" applyFont="1" applyBorder="1" applyAlignment="1">
      <alignment horizontal="center"/>
    </xf>
    <xf numFmtId="0" fontId="39" fillId="0" borderId="0" xfId="61" applyFont="1"/>
    <xf numFmtId="0" fontId="39" fillId="0" borderId="26" xfId="0" applyFont="1" applyBorder="1" applyAlignment="1">
      <alignment horizontal="center"/>
    </xf>
    <xf numFmtId="0" fontId="32" fillId="0" borderId="27" xfId="0" applyFont="1" applyBorder="1" applyAlignment="1">
      <alignment horizontal="center"/>
    </xf>
    <xf numFmtId="0" fontId="32" fillId="0" borderId="84" xfId="0" applyFont="1" applyBorder="1" applyAlignment="1">
      <alignment horizontal="center"/>
    </xf>
    <xf numFmtId="0" fontId="6" fillId="0" borderId="85" xfId="0" applyFont="1" applyBorder="1" applyAlignment="1">
      <alignment horizontal="center" vertical="center"/>
    </xf>
    <xf numFmtId="0" fontId="13" fillId="0" borderId="86" xfId="0" applyFont="1" applyBorder="1" applyAlignment="1">
      <alignment horizontal="centerContinuous" vertical="center" wrapText="1"/>
    </xf>
    <xf numFmtId="0" fontId="2" fillId="0" borderId="87" xfId="61" applyFont="1" applyBorder="1" applyAlignment="1">
      <alignment horizontal="left" vertical="top"/>
    </xf>
    <xf numFmtId="0" fontId="13" fillId="0" borderId="49" xfId="56" applyFont="1" applyBorder="1" applyAlignment="1">
      <alignment horizontal="right"/>
    </xf>
    <xf numFmtId="0" fontId="6" fillId="0" borderId="71" xfId="0" applyFont="1" applyBorder="1" applyAlignment="1">
      <alignment horizontal="right" vertical="center"/>
    </xf>
    <xf numFmtId="0" fontId="13" fillId="0" borderId="67" xfId="0" applyFont="1" applyBorder="1" applyAlignment="1">
      <alignment horizontal="centerContinuous" vertical="center"/>
    </xf>
    <xf numFmtId="0" fontId="20" fillId="0" borderId="29" xfId="0" applyFont="1" applyBorder="1" applyAlignment="1">
      <alignment horizontal="center"/>
    </xf>
    <xf numFmtId="0" fontId="3" fillId="0" borderId="11" xfId="61" applyFont="1" applyBorder="1" applyAlignment="1">
      <alignment horizontal="center"/>
    </xf>
    <xf numFmtId="0" fontId="13" fillId="0" borderId="14" xfId="61" applyFont="1" applyBorder="1" applyAlignment="1">
      <alignment horizontal="centerContinuous" vertical="center"/>
    </xf>
    <xf numFmtId="0" fontId="13" fillId="0" borderId="32" xfId="61" applyFont="1" applyBorder="1" applyAlignment="1">
      <alignment horizontal="centerContinuous" vertical="center"/>
    </xf>
    <xf numFmtId="0" fontId="6" fillId="0" borderId="14" xfId="56" applyFont="1" applyBorder="1" applyAlignment="1">
      <alignment horizontal="centerContinuous" vertical="center"/>
    </xf>
    <xf numFmtId="0" fontId="22" fillId="0" borderId="88" xfId="0" applyFont="1" applyBorder="1" applyAlignment="1">
      <alignment horizontal="left" vertical="center" wrapText="1"/>
    </xf>
    <xf numFmtId="0" fontId="3" fillId="0" borderId="87" xfId="0" applyFont="1" applyBorder="1" applyAlignment="1">
      <alignment horizontal="centerContinuous"/>
    </xf>
    <xf numFmtId="0" fontId="22" fillId="0" borderId="89" xfId="0" applyFont="1" applyBorder="1" applyAlignment="1">
      <alignment horizontal="centerContinuous" vertical="center" wrapText="1"/>
    </xf>
    <xf numFmtId="0" fontId="13" fillId="0" borderId="83" xfId="0" applyFont="1" applyBorder="1" applyAlignment="1">
      <alignment horizontal="center" vertical="center" wrapText="1"/>
    </xf>
    <xf numFmtId="0" fontId="22" fillId="0" borderId="80" xfId="0" applyFont="1" applyBorder="1" applyAlignment="1">
      <alignment horizontal="centerContinuous" vertical="center" wrapText="1"/>
    </xf>
    <xf numFmtId="0" fontId="22" fillId="0" borderId="90" xfId="0" applyFont="1" applyBorder="1" applyAlignment="1">
      <alignment horizontal="center" vertical="center"/>
    </xf>
    <xf numFmtId="0" fontId="13" fillId="0" borderId="84" xfId="0" applyFont="1" applyBorder="1" applyAlignment="1">
      <alignment horizontal="center" wrapText="1"/>
    </xf>
    <xf numFmtId="0" fontId="7" fillId="0" borderId="0" xfId="0" applyFont="1" applyAlignment="1">
      <alignment horizontal="left" vertical="top"/>
    </xf>
    <xf numFmtId="0" fontId="27" fillId="0" borderId="0" xfId="0" applyFont="1" applyAlignment="1">
      <alignment horizontal="right" vertical="top"/>
    </xf>
    <xf numFmtId="0" fontId="6" fillId="0" borderId="14" xfId="0" applyFont="1" applyBorder="1" applyAlignment="1">
      <alignment horizontal="centerContinuous" vertical="center"/>
    </xf>
    <xf numFmtId="0" fontId="23" fillId="0" borderId="0" xfId="0" applyFont="1" applyAlignment="1">
      <alignment horizontal="center"/>
    </xf>
    <xf numFmtId="0" fontId="7" fillId="0" borderId="0" xfId="0" applyFont="1" applyAlignment="1">
      <alignment vertical="top" wrapText="1"/>
    </xf>
    <xf numFmtId="0" fontId="28" fillId="0" borderId="0" xfId="0" applyFont="1" applyAlignment="1">
      <alignment vertical="center" wrapText="1"/>
    </xf>
    <xf numFmtId="0" fontId="33" fillId="0" borderId="0" xfId="0" applyFont="1"/>
    <xf numFmtId="0" fontId="13" fillId="0" borderId="56" xfId="0" applyFont="1" applyBorder="1" applyAlignment="1">
      <alignment horizontal="center" vertical="center" wrapText="1"/>
    </xf>
    <xf numFmtId="0" fontId="23" fillId="0" borderId="0" xfId="0" applyFont="1" applyAlignment="1">
      <alignment horizontal="left"/>
    </xf>
    <xf numFmtId="38" fontId="14" fillId="0" borderId="47" xfId="32" applyNumberFormat="1" applyFont="1" applyBorder="1"/>
    <xf numFmtId="38" fontId="14" fillId="0" borderId="31" xfId="32" applyNumberFormat="1" applyFont="1" applyBorder="1"/>
    <xf numFmtId="38" fontId="14" fillId="0" borderId="60" xfId="32" applyNumberFormat="1" applyFont="1" applyBorder="1"/>
    <xf numFmtId="0" fontId="14" fillId="0" borderId="31" xfId="0" applyFont="1" applyBorder="1" applyAlignment="1">
      <alignment horizontal="center"/>
    </xf>
    <xf numFmtId="0" fontId="14" fillId="0" borderId="47" xfId="0" applyFont="1" applyBorder="1" applyAlignment="1">
      <alignment horizontal="center"/>
    </xf>
    <xf numFmtId="3" fontId="3" fillId="24" borderId="62" xfId="0" applyNumberFormat="1" applyFont="1" applyFill="1" applyBorder="1" applyProtection="1">
      <protection locked="0"/>
    </xf>
    <xf numFmtId="3" fontId="3" fillId="24" borderId="44" xfId="0" applyNumberFormat="1" applyFont="1" applyFill="1" applyBorder="1" applyProtection="1">
      <protection locked="0"/>
    </xf>
    <xf numFmtId="3" fontId="3" fillId="24" borderId="73" xfId="0" applyNumberFormat="1" applyFont="1" applyFill="1" applyBorder="1" applyProtection="1">
      <protection locked="0"/>
    </xf>
    <xf numFmtId="0" fontId="40" fillId="0" borderId="87" xfId="0" applyFont="1" applyBorder="1" applyAlignment="1">
      <alignment horizontal="right" vertical="center" wrapText="1"/>
    </xf>
    <xf numFmtId="3" fontId="3" fillId="0" borderId="62" xfId="60" applyNumberFormat="1" applyFont="1" applyBorder="1" applyProtection="1">
      <protection locked="0"/>
    </xf>
    <xf numFmtId="3" fontId="3" fillId="0" borderId="54" xfId="60" applyNumberFormat="1" applyFont="1" applyBorder="1" applyProtection="1">
      <protection locked="0"/>
    </xf>
    <xf numFmtId="3" fontId="3" fillId="0" borderId="44" xfId="60" applyNumberFormat="1" applyFont="1" applyBorder="1" applyProtection="1">
      <protection locked="0"/>
    </xf>
    <xf numFmtId="3" fontId="3" fillId="0" borderId="55" xfId="60" applyNumberFormat="1" applyFont="1" applyBorder="1" applyProtection="1">
      <protection locked="0"/>
    </xf>
    <xf numFmtId="3" fontId="3" fillId="0" borderId="76" xfId="60" applyNumberFormat="1" applyFont="1" applyBorder="1" applyProtection="1">
      <protection locked="0"/>
    </xf>
    <xf numFmtId="3" fontId="3" fillId="24" borderId="31" xfId="0" applyNumberFormat="1" applyFont="1" applyFill="1" applyBorder="1"/>
    <xf numFmtId="3" fontId="3" fillId="0" borderId="31" xfId="0" applyNumberFormat="1" applyFont="1" applyBorder="1"/>
    <xf numFmtId="40" fontId="14" fillId="0" borderId="31" xfId="32" applyFont="1" applyBorder="1" applyAlignment="1"/>
    <xf numFmtId="38" fontId="14" fillId="0" borderId="31" xfId="32" applyNumberFormat="1" applyFont="1" applyBorder="1" applyAlignment="1"/>
    <xf numFmtId="4" fontId="14" fillId="0" borderId="31" xfId="0" applyNumberFormat="1" applyFont="1" applyBorder="1"/>
    <xf numFmtId="10" fontId="14" fillId="0" borderId="31" xfId="64" applyNumberFormat="1" applyFont="1" applyBorder="1" applyAlignment="1"/>
    <xf numFmtId="0" fontId="14" fillId="0" borderId="91" xfId="0" applyFont="1" applyBorder="1" applyAlignment="1">
      <alignment horizontal="center" vertical="center" wrapText="1"/>
    </xf>
    <xf numFmtId="0" fontId="13" fillId="0" borderId="0" xfId="0" applyFont="1"/>
    <xf numFmtId="0" fontId="7" fillId="0" borderId="0" xfId="0" applyFont="1" applyAlignment="1">
      <alignment horizontal="left" vertical="top" wrapText="1"/>
    </xf>
    <xf numFmtId="165" fontId="41" fillId="0" borderId="0" xfId="53" applyAlignment="1">
      <alignment vertical="center"/>
    </xf>
    <xf numFmtId="165" fontId="42" fillId="0" borderId="0" xfId="53" applyFont="1" applyAlignment="1">
      <alignment vertical="center"/>
    </xf>
    <xf numFmtId="165" fontId="24" fillId="0" borderId="0" xfId="53" applyFont="1" applyAlignment="1">
      <alignment horizontal="left" vertical="center"/>
    </xf>
    <xf numFmtId="165" fontId="14" fillId="0" borderId="0" xfId="53" applyFont="1" applyAlignment="1">
      <alignment horizontal="left" vertical="top"/>
    </xf>
    <xf numFmtId="165" fontId="46" fillId="0" borderId="0" xfId="53" applyFont="1" applyAlignment="1">
      <alignment vertical="top"/>
    </xf>
    <xf numFmtId="165" fontId="46" fillId="0" borderId="0" xfId="53" applyFont="1" applyAlignment="1">
      <alignment vertical="center"/>
    </xf>
    <xf numFmtId="165" fontId="41" fillId="0" borderId="0" xfId="55" applyNumberFormat="1" applyFont="1" applyAlignment="1">
      <alignment vertical="center"/>
    </xf>
    <xf numFmtId="165" fontId="48" fillId="0" borderId="0" xfId="53" applyFont="1" applyAlignment="1">
      <alignment vertical="center"/>
    </xf>
    <xf numFmtId="165" fontId="9" fillId="0" borderId="0" xfId="53" applyFont="1" applyAlignment="1">
      <alignment horizontal="left" vertical="center"/>
    </xf>
    <xf numFmtId="0" fontId="50" fillId="0" borderId="92" xfId="0" applyFont="1" applyBorder="1" applyAlignment="1">
      <alignment horizontal="center"/>
    </xf>
    <xf numFmtId="0" fontId="50" fillId="0" borderId="44" xfId="0" applyFont="1" applyBorder="1" applyAlignment="1">
      <alignment horizontal="center"/>
    </xf>
    <xf numFmtId="0" fontId="50" fillId="0" borderId="44" xfId="0" quotePrefix="1" applyFont="1" applyBorder="1" applyAlignment="1">
      <alignment horizontal="center"/>
    </xf>
    <xf numFmtId="3" fontId="3" fillId="0" borderId="0" xfId="0" applyNumberFormat="1" applyFont="1" applyAlignment="1">
      <alignment horizontal="center"/>
    </xf>
    <xf numFmtId="3" fontId="3" fillId="0" borderId="0" xfId="0" applyNumberFormat="1" applyFont="1"/>
    <xf numFmtId="4" fontId="51" fillId="0" borderId="31" xfId="0" applyNumberFormat="1" applyFont="1" applyBorder="1" applyAlignment="1">
      <alignment horizontal="center"/>
    </xf>
    <xf numFmtId="0" fontId="13" fillId="0" borderId="18" xfId="0" applyFont="1" applyBorder="1" applyAlignment="1">
      <alignment horizontal="left"/>
    </xf>
    <xf numFmtId="3" fontId="13" fillId="0" borderId="31" xfId="0" applyNumberFormat="1" applyFont="1" applyBorder="1"/>
    <xf numFmtId="0" fontId="13" fillId="0" borderId="45" xfId="0" applyFont="1" applyBorder="1" applyAlignment="1">
      <alignment horizontal="left"/>
    </xf>
    <xf numFmtId="0" fontId="3" fillId="0" borderId="33" xfId="0" applyFont="1" applyBorder="1" applyAlignment="1">
      <alignment horizontal="centerContinuous"/>
    </xf>
    <xf numFmtId="0" fontId="3" fillId="0" borderId="93" xfId="0" applyFont="1" applyBorder="1" applyAlignment="1">
      <alignment horizontal="center"/>
    </xf>
    <xf numFmtId="165" fontId="24" fillId="0" borderId="0" xfId="53" applyFont="1" applyAlignment="1">
      <alignment vertical="center"/>
    </xf>
    <xf numFmtId="165" fontId="43" fillId="0" borderId="0" xfId="53" applyFont="1" applyAlignment="1">
      <alignment vertical="center"/>
    </xf>
    <xf numFmtId="0" fontId="14" fillId="0" borderId="0" xfId="50" applyFont="1" applyAlignment="1">
      <alignment vertical="center"/>
    </xf>
    <xf numFmtId="165" fontId="14" fillId="0" borderId="0" xfId="53" applyFont="1" applyAlignment="1">
      <alignment vertical="top"/>
    </xf>
    <xf numFmtId="165" fontId="13" fillId="0" borderId="0" xfId="53" applyFont="1" applyAlignment="1">
      <alignment vertical="center"/>
    </xf>
    <xf numFmtId="165" fontId="14" fillId="0" borderId="0" xfId="53" applyFont="1" applyAlignment="1">
      <alignment vertical="center"/>
    </xf>
    <xf numFmtId="165" fontId="47" fillId="0" borderId="0" xfId="53" applyFont="1" applyAlignment="1">
      <alignment horizontal="left" vertical="center" wrapText="1"/>
    </xf>
    <xf numFmtId="0" fontId="45" fillId="0" borderId="0" xfId="50" applyFont="1" applyAlignment="1">
      <alignment horizontal="left" vertical="center"/>
    </xf>
    <xf numFmtId="0" fontId="26" fillId="0" borderId="0" xfId="50" applyFont="1" applyAlignment="1">
      <alignment horizontal="center" vertical="center"/>
    </xf>
    <xf numFmtId="165" fontId="9" fillId="0" borderId="0" xfId="55" applyNumberFormat="1" applyFont="1" applyAlignment="1">
      <alignment vertical="center"/>
    </xf>
    <xf numFmtId="165" fontId="23" fillId="0" borderId="0" xfId="55" applyNumberFormat="1" applyFont="1" applyAlignment="1">
      <alignment vertical="center"/>
    </xf>
    <xf numFmtId="165" fontId="24" fillId="0" borderId="0" xfId="55" applyNumberFormat="1" applyFont="1" applyAlignment="1">
      <alignment vertical="center"/>
    </xf>
    <xf numFmtId="0" fontId="22" fillId="0" borderId="0" xfId="0" applyFont="1" applyAlignment="1">
      <alignment horizontal="center" vertical="top"/>
    </xf>
    <xf numFmtId="0" fontId="15" fillId="0" borderId="0" xfId="55"/>
    <xf numFmtId="165" fontId="22" fillId="0" borderId="31" xfId="53" applyFont="1" applyBorder="1" applyAlignment="1">
      <alignment horizontal="center" vertical="center"/>
    </xf>
    <xf numFmtId="0" fontId="30" fillId="0" borderId="0" xfId="51" applyAlignment="1">
      <alignment vertical="center"/>
    </xf>
    <xf numFmtId="165" fontId="49" fillId="0" borderId="0" xfId="53" applyFont="1" applyAlignment="1">
      <alignment vertical="center"/>
    </xf>
    <xf numFmtId="168" fontId="42" fillId="0" borderId="0" xfId="53" applyNumberFormat="1" applyFont="1" applyAlignment="1">
      <alignment vertical="center"/>
    </xf>
    <xf numFmtId="165" fontId="53" fillId="0" borderId="0" xfId="53" applyFont="1" applyAlignment="1">
      <alignment vertical="center"/>
    </xf>
    <xf numFmtId="168" fontId="41" fillId="0" borderId="0" xfId="53" applyNumberFormat="1" applyAlignment="1" applyProtection="1">
      <alignment vertical="center"/>
      <protection locked="0"/>
    </xf>
    <xf numFmtId="0" fontId="3" fillId="0" borderId="92" xfId="61" applyFont="1" applyBorder="1" applyAlignment="1">
      <alignment horizontal="centerContinuous" vertical="center" wrapText="1"/>
    </xf>
    <xf numFmtId="0" fontId="17" fillId="0" borderId="94" xfId="61" applyFont="1" applyBorder="1" applyAlignment="1">
      <alignment horizontal="centerContinuous" vertical="center" wrapText="1"/>
    </xf>
    <xf numFmtId="0" fontId="13" fillId="0" borderId="0" xfId="61" applyFont="1" applyAlignment="1">
      <alignment horizontal="centerContinuous" vertical="center"/>
    </xf>
    <xf numFmtId="0" fontId="17" fillId="0" borderId="95" xfId="61" applyFont="1" applyBorder="1" applyAlignment="1">
      <alignment horizontal="centerContinuous" vertical="center" wrapText="1"/>
    </xf>
    <xf numFmtId="0" fontId="18" fillId="0" borderId="96" xfId="61" applyFont="1" applyBorder="1" applyAlignment="1">
      <alignment horizontal="centerContinuous" vertical="center"/>
    </xf>
    <xf numFmtId="1" fontId="3" fillId="0" borderId="0" xfId="0" applyNumberFormat="1" applyFont="1"/>
    <xf numFmtId="1" fontId="13" fillId="0" borderId="31" xfId="0" applyNumberFormat="1" applyFont="1" applyBorder="1" applyAlignment="1">
      <alignment horizontal="center" vertical="center" wrapText="1"/>
    </xf>
    <xf numFmtId="1" fontId="10" fillId="0" borderId="31" xfId="0" applyNumberFormat="1" applyFont="1" applyBorder="1" applyAlignment="1">
      <alignment horizontal="center" vertical="center" wrapText="1"/>
    </xf>
    <xf numFmtId="1" fontId="3" fillId="0" borderId="0" xfId="0" applyNumberFormat="1" applyFont="1" applyAlignment="1">
      <alignment horizontal="center"/>
    </xf>
    <xf numFmtId="3" fontId="13" fillId="0" borderId="31" xfId="0" applyNumberFormat="1" applyFont="1" applyBorder="1" applyAlignment="1">
      <alignment horizontal="center" vertical="center" wrapText="1"/>
    </xf>
    <xf numFmtId="3" fontId="10" fillId="0" borderId="31" xfId="0" applyNumberFormat="1" applyFont="1" applyBorder="1" applyAlignment="1">
      <alignment horizontal="center" vertical="center" wrapText="1"/>
    </xf>
    <xf numFmtId="0" fontId="54" fillId="0" borderId="0" xfId="0" applyFont="1"/>
    <xf numFmtId="38" fontId="54" fillId="0" borderId="0" xfId="0" applyNumberFormat="1" applyFont="1"/>
    <xf numFmtId="0" fontId="55" fillId="0" borderId="0" xfId="0" applyFont="1"/>
    <xf numFmtId="0" fontId="30" fillId="0" borderId="0" xfId="0" applyFont="1"/>
    <xf numFmtId="0" fontId="56" fillId="0" borderId="0" xfId="0" applyFont="1"/>
    <xf numFmtId="10" fontId="30" fillId="0" borderId="81" xfId="64" applyNumberFormat="1" applyFont="1" applyBorder="1" applyAlignment="1">
      <alignment horizontal="center"/>
    </xf>
    <xf numFmtId="10" fontId="30" fillId="0" borderId="97" xfId="64" applyNumberFormat="1" applyFont="1" applyBorder="1" applyAlignment="1">
      <alignment horizontal="center"/>
    </xf>
    <xf numFmtId="10" fontId="30" fillId="0" borderId="98" xfId="64" applyNumberFormat="1" applyFont="1" applyBorder="1" applyAlignment="1">
      <alignment horizontal="center"/>
    </xf>
    <xf numFmtId="10" fontId="31" fillId="0" borderId="60" xfId="64" applyNumberFormat="1" applyFont="1" applyBorder="1" applyAlignment="1">
      <alignment horizontal="center" wrapText="1"/>
    </xf>
    <xf numFmtId="10" fontId="30" fillId="0" borderId="60" xfId="64" applyNumberFormat="1" applyFont="1" applyBorder="1" applyAlignment="1">
      <alignment horizontal="center"/>
    </xf>
    <xf numFmtId="10" fontId="30" fillId="0" borderId="54" xfId="64" applyNumberFormat="1" applyFont="1" applyBorder="1" applyAlignment="1">
      <alignment horizontal="center"/>
    </xf>
    <xf numFmtId="169" fontId="3" fillId="24" borderId="62" xfId="0" applyNumberFormat="1" applyFont="1" applyFill="1" applyBorder="1"/>
    <xf numFmtId="169" fontId="3" fillId="24" borderId="81" xfId="0" applyNumberFormat="1" applyFont="1" applyFill="1" applyBorder="1"/>
    <xf numFmtId="169" fontId="3" fillId="0" borderId="99" xfId="0" applyNumberFormat="1" applyFont="1" applyBorder="1"/>
    <xf numFmtId="169" fontId="3" fillId="0" borderId="100" xfId="0" applyNumberFormat="1" applyFont="1" applyBorder="1"/>
    <xf numFmtId="169" fontId="3" fillId="0" borderId="101" xfId="0" applyNumberFormat="1" applyFont="1" applyBorder="1"/>
    <xf numFmtId="169" fontId="3" fillId="0" borderId="49" xfId="56" applyNumberFormat="1" applyFont="1" applyBorder="1"/>
    <xf numFmtId="169" fontId="3" fillId="0" borderId="100" xfId="56" applyNumberFormat="1" applyFont="1" applyBorder="1"/>
    <xf numFmtId="169" fontId="3" fillId="0" borderId="99" xfId="56" applyNumberFormat="1" applyFont="1" applyBorder="1"/>
    <xf numFmtId="169" fontId="3" fillId="24" borderId="63" xfId="0" applyNumberFormat="1" applyFont="1" applyFill="1" applyBorder="1"/>
    <xf numFmtId="169" fontId="3" fillId="24" borderId="102" xfId="0" applyNumberFormat="1" applyFont="1" applyFill="1" applyBorder="1" applyAlignment="1">
      <alignment vertical="center"/>
    </xf>
    <xf numFmtId="169" fontId="3" fillId="0" borderId="103" xfId="0" applyNumberFormat="1" applyFont="1" applyBorder="1" applyAlignment="1">
      <alignment vertical="center"/>
    </xf>
    <xf numFmtId="169" fontId="3" fillId="0" borderId="64" xfId="56" applyNumberFormat="1" applyFont="1" applyBorder="1"/>
    <xf numFmtId="169" fontId="3" fillId="0" borderId="81" xfId="56" applyNumberFormat="1" applyFont="1" applyBorder="1"/>
    <xf numFmtId="169" fontId="14" fillId="0" borderId="75" xfId="57" applyNumberFormat="1" applyFont="1" applyBorder="1"/>
    <xf numFmtId="169" fontId="14" fillId="0" borderId="97" xfId="57" applyNumberFormat="1" applyFont="1" applyBorder="1"/>
    <xf numFmtId="169" fontId="14" fillId="24" borderId="99" xfId="57" applyNumberFormat="1" applyFont="1" applyFill="1" applyBorder="1"/>
    <xf numFmtId="169" fontId="14" fillId="24" borderId="101" xfId="57" applyNumberFormat="1" applyFont="1" applyFill="1" applyBorder="1"/>
    <xf numFmtId="169" fontId="14" fillId="24" borderId="100" xfId="57" applyNumberFormat="1" applyFont="1" applyFill="1" applyBorder="1"/>
    <xf numFmtId="169" fontId="3" fillId="24" borderId="99" xfId="58" applyNumberFormat="1" applyFont="1" applyFill="1" applyBorder="1"/>
    <xf numFmtId="169" fontId="3" fillId="24" borderId="100" xfId="58" applyNumberFormat="1" applyFont="1" applyFill="1" applyBorder="1"/>
    <xf numFmtId="169" fontId="3" fillId="24" borderId="101" xfId="58" applyNumberFormat="1" applyFont="1" applyFill="1" applyBorder="1"/>
    <xf numFmtId="169" fontId="3" fillId="24" borderId="55" xfId="58" applyNumberFormat="1" applyFont="1" applyFill="1" applyBorder="1"/>
    <xf numFmtId="169" fontId="3" fillId="24" borderId="67" xfId="58" applyNumberFormat="1" applyFont="1" applyFill="1" applyBorder="1"/>
    <xf numFmtId="169" fontId="3" fillId="24" borderId="64" xfId="59" applyNumberFormat="1" applyFont="1" applyFill="1" applyBorder="1"/>
    <xf numFmtId="169" fontId="3" fillId="24" borderId="67" xfId="59" applyNumberFormat="1" applyFont="1" applyFill="1" applyBorder="1"/>
    <xf numFmtId="169" fontId="3" fillId="24" borderId="99" xfId="59" applyNumberFormat="1" applyFont="1" applyFill="1" applyBorder="1"/>
    <xf numFmtId="169" fontId="3" fillId="24" borderId="101" xfId="59" applyNumberFormat="1" applyFont="1" applyFill="1" applyBorder="1"/>
    <xf numFmtId="169" fontId="3" fillId="24" borderId="100" xfId="59" applyNumberFormat="1" applyFont="1" applyFill="1" applyBorder="1"/>
    <xf numFmtId="169" fontId="3" fillId="24" borderId="75" xfId="60" applyNumberFormat="1" applyFont="1" applyFill="1" applyBorder="1"/>
    <xf numFmtId="169" fontId="3" fillId="24" borderId="73" xfId="60" applyNumberFormat="1" applyFont="1" applyFill="1" applyBorder="1"/>
    <xf numFmtId="169" fontId="3" fillId="24" borderId="99" xfId="60" applyNumberFormat="1" applyFont="1" applyFill="1" applyBorder="1"/>
    <xf numFmtId="169" fontId="3" fillId="24" borderId="100" xfId="60" applyNumberFormat="1" applyFont="1" applyFill="1" applyBorder="1"/>
    <xf numFmtId="169" fontId="3" fillId="24" borderId="64" xfId="0" applyNumberFormat="1" applyFont="1" applyFill="1" applyBorder="1"/>
    <xf numFmtId="169" fontId="3" fillId="24" borderId="99" xfId="61" applyNumberFormat="1" applyFont="1" applyFill="1" applyBorder="1"/>
    <xf numFmtId="169" fontId="3" fillId="24" borderId="100" xfId="61" applyNumberFormat="1" applyFont="1" applyFill="1" applyBorder="1"/>
    <xf numFmtId="169" fontId="3" fillId="24" borderId="101" xfId="61" applyNumberFormat="1" applyFont="1" applyFill="1" applyBorder="1"/>
    <xf numFmtId="0" fontId="3" fillId="0" borderId="104" xfId="61" applyFont="1" applyBorder="1" applyAlignment="1">
      <alignment horizontal="centerContinuous" vertical="center" wrapText="1"/>
    </xf>
    <xf numFmtId="169" fontId="3" fillId="24" borderId="105" xfId="0" applyNumberFormat="1" applyFont="1" applyFill="1" applyBorder="1"/>
    <xf numFmtId="169" fontId="3" fillId="24" borderId="106" xfId="0" applyNumberFormat="1" applyFont="1" applyFill="1" applyBorder="1"/>
    <xf numFmtId="169" fontId="3" fillId="24" borderId="99" xfId="0" applyNumberFormat="1" applyFont="1" applyFill="1" applyBorder="1"/>
    <xf numFmtId="169" fontId="3" fillId="24" borderId="67" xfId="0" applyNumberFormat="1" applyFont="1" applyFill="1" applyBorder="1"/>
    <xf numFmtId="0" fontId="43" fillId="0" borderId="0" xfId="53" applyNumberFormat="1" applyFont="1" applyAlignment="1">
      <alignment vertical="center"/>
    </xf>
    <xf numFmtId="0" fontId="41" fillId="0" borderId="0" xfId="53" applyNumberFormat="1" applyAlignment="1" applyProtection="1">
      <alignment vertical="center"/>
      <protection locked="0"/>
    </xf>
    <xf numFmtId="0" fontId="28" fillId="0" borderId="107" xfId="0" applyFont="1" applyBorder="1" applyAlignment="1">
      <alignment horizontal="left" vertical="center" wrapText="1"/>
    </xf>
    <xf numFmtId="0" fontId="52" fillId="0" borderId="108" xfId="0" applyFont="1" applyBorder="1" applyAlignment="1">
      <alignment horizontal="center" vertical="center" wrapText="1"/>
    </xf>
    <xf numFmtId="0" fontId="52" fillId="0" borderId="109" xfId="0" applyFont="1" applyBorder="1" applyAlignment="1">
      <alignment horizontal="center" vertical="center" wrapText="1"/>
    </xf>
    <xf numFmtId="0" fontId="58" fillId="0" borderId="27" xfId="0" applyFont="1" applyBorder="1" applyAlignment="1">
      <alignment horizontal="center" vertical="center" wrapText="1"/>
    </xf>
    <xf numFmtId="0" fontId="58" fillId="0" borderId="110" xfId="0" applyFont="1" applyBorder="1" applyAlignment="1">
      <alignment horizontal="center" vertical="center" wrapText="1"/>
    </xf>
    <xf numFmtId="0" fontId="59" fillId="0" borderId="0" xfId="0" applyFont="1"/>
    <xf numFmtId="0" fontId="16" fillId="0" borderId="16" xfId="61" applyFont="1" applyBorder="1" applyAlignment="1">
      <alignment horizontal="centerContinuous" vertical="center" wrapText="1"/>
    </xf>
    <xf numFmtId="0" fontId="3" fillId="0" borderId="17" xfId="61" applyFont="1" applyBorder="1" applyAlignment="1">
      <alignment horizontal="centerContinuous" vertical="center" wrapText="1"/>
    </xf>
    <xf numFmtId="2" fontId="14" fillId="0" borderId="111" xfId="0" applyNumberFormat="1" applyFont="1" applyBorder="1" applyAlignment="1">
      <alignment horizontal="center" vertical="center" wrapText="1"/>
    </xf>
    <xf numFmtId="165" fontId="9" fillId="0" borderId="0" xfId="53" applyFont="1" applyAlignment="1">
      <alignment horizontal="left" vertical="center" wrapText="1"/>
    </xf>
    <xf numFmtId="168" fontId="41" fillId="0" borderId="0" xfId="53" applyNumberFormat="1" applyAlignment="1">
      <alignment vertical="center"/>
    </xf>
    <xf numFmtId="165" fontId="61" fillId="0" borderId="0" xfId="53" applyFont="1" applyAlignment="1">
      <alignment horizontal="center" vertical="center" wrapText="1"/>
    </xf>
    <xf numFmtId="0" fontId="61" fillId="0" borderId="0" xfId="53" applyNumberFormat="1" applyFont="1" applyAlignment="1">
      <alignment horizontal="center" vertical="center" wrapText="1"/>
    </xf>
    <xf numFmtId="49" fontId="63" fillId="0" borderId="56" xfId="22" applyNumberFormat="1" applyFont="1" applyBorder="1" applyAlignment="1" applyProtection="1">
      <alignment horizontal="left" vertical="center"/>
      <protection locked="0"/>
    </xf>
    <xf numFmtId="0" fontId="41" fillId="0" borderId="0" xfId="53" applyNumberFormat="1" applyAlignment="1">
      <alignment vertical="center"/>
    </xf>
    <xf numFmtId="165" fontId="64" fillId="0" borderId="0" xfId="53" applyFont="1" applyAlignment="1">
      <alignment vertical="center"/>
    </xf>
    <xf numFmtId="0" fontId="14" fillId="0" borderId="112" xfId="0" applyFont="1" applyBorder="1" applyAlignment="1">
      <alignment horizontal="left"/>
    </xf>
    <xf numFmtId="3" fontId="3" fillId="24" borderId="113" xfId="0" applyNumberFormat="1" applyFont="1" applyFill="1" applyBorder="1" applyAlignment="1">
      <alignment horizontal="center"/>
    </xf>
    <xf numFmtId="0" fontId="13" fillId="0" borderId="114" xfId="0" applyFont="1" applyBorder="1" applyAlignment="1">
      <alignment horizontal="center"/>
    </xf>
    <xf numFmtId="3" fontId="13" fillId="0" borderId="115" xfId="0" applyNumberFormat="1" applyFont="1" applyBorder="1" applyAlignment="1">
      <alignment horizontal="center"/>
    </xf>
    <xf numFmtId="172" fontId="3" fillId="24" borderId="105" xfId="0" applyNumberFormat="1" applyFont="1" applyFill="1" applyBorder="1"/>
    <xf numFmtId="0" fontId="10" fillId="0" borderId="112" xfId="0" applyFont="1" applyBorder="1" applyAlignment="1">
      <alignment horizontal="center" vertical="center" wrapText="1"/>
    </xf>
    <xf numFmtId="0" fontId="10" fillId="0" borderId="113" xfId="0" applyFont="1" applyBorder="1" applyAlignment="1">
      <alignment horizontal="center" vertical="center" wrapText="1"/>
    </xf>
    <xf numFmtId="0" fontId="10" fillId="0" borderId="116" xfId="0" applyFont="1" applyBorder="1" applyAlignment="1">
      <alignment horizontal="center" vertical="center" wrapText="1"/>
    </xf>
    <xf numFmtId="165" fontId="24" fillId="0" borderId="0" xfId="53" applyFont="1" applyAlignment="1">
      <alignment vertical="top"/>
    </xf>
    <xf numFmtId="165" fontId="9" fillId="25" borderId="31" xfId="53" applyFont="1" applyFill="1" applyBorder="1" applyAlignment="1">
      <alignment vertical="center"/>
    </xf>
    <xf numFmtId="169" fontId="3" fillId="0" borderId="117" xfId="56" applyNumberFormat="1" applyFont="1" applyBorder="1"/>
    <xf numFmtId="3" fontId="3" fillId="0" borderId="54" xfId="56" applyNumberFormat="1" applyFont="1" applyBorder="1" applyProtection="1">
      <protection locked="0"/>
    </xf>
    <xf numFmtId="169" fontId="3" fillId="0" borderId="24" xfId="56" applyNumberFormat="1" applyFont="1" applyBorder="1"/>
    <xf numFmtId="3" fontId="3" fillId="0" borderId="64" xfId="56" applyNumberFormat="1" applyFont="1" applyBorder="1" applyProtection="1">
      <protection locked="0"/>
    </xf>
    <xf numFmtId="3" fontId="3" fillId="0" borderId="74" xfId="60" applyNumberFormat="1" applyFont="1" applyBorder="1" applyProtection="1">
      <protection locked="0"/>
    </xf>
    <xf numFmtId="169" fontId="3" fillId="24" borderId="117" xfId="60" applyNumberFormat="1" applyFont="1" applyFill="1" applyBorder="1"/>
    <xf numFmtId="169" fontId="3" fillId="24" borderId="118" xfId="60" applyNumberFormat="1" applyFont="1" applyFill="1" applyBorder="1"/>
    <xf numFmtId="169" fontId="0" fillId="0" borderId="119" xfId="0" applyNumberFormat="1" applyBorder="1"/>
    <xf numFmtId="169" fontId="3" fillId="0" borderId="101" xfId="56" applyNumberFormat="1" applyFont="1" applyBorder="1"/>
    <xf numFmtId="169" fontId="14" fillId="24" borderId="105" xfId="57" applyNumberFormat="1" applyFont="1" applyFill="1" applyBorder="1"/>
    <xf numFmtId="169" fontId="3" fillId="24" borderId="75" xfId="61" applyNumberFormat="1" applyFont="1" applyFill="1" applyBorder="1"/>
    <xf numFmtId="169" fontId="3" fillId="24" borderId="73" xfId="61" applyNumberFormat="1" applyFont="1" applyFill="1" applyBorder="1"/>
    <xf numFmtId="165" fontId="9" fillId="0" borderId="0" xfId="53" applyFont="1" applyAlignment="1" applyProtection="1">
      <alignment vertical="center"/>
      <protection locked="0"/>
    </xf>
    <xf numFmtId="165" fontId="24" fillId="24" borderId="0" xfId="53" applyFont="1" applyFill="1" applyAlignment="1">
      <alignment vertical="center"/>
    </xf>
    <xf numFmtId="0" fontId="0" fillId="24" borderId="0" xfId="0" applyFill="1"/>
    <xf numFmtId="165" fontId="65" fillId="24" borderId="0" xfId="53" applyFont="1" applyFill="1" applyAlignment="1">
      <alignment vertical="center"/>
    </xf>
    <xf numFmtId="165" fontId="9" fillId="24" borderId="0" xfId="53" applyFont="1" applyFill="1" applyAlignment="1">
      <alignment vertical="center"/>
    </xf>
    <xf numFmtId="165" fontId="9" fillId="24" borderId="0" xfId="53" applyFont="1" applyFill="1" applyAlignment="1">
      <alignment horizontal="left" vertical="center"/>
    </xf>
    <xf numFmtId="165" fontId="23" fillId="24" borderId="0" xfId="53" applyFont="1" applyFill="1" applyAlignment="1">
      <alignment horizontal="left" vertical="center"/>
    </xf>
    <xf numFmtId="165" fontId="23" fillId="24" borderId="0" xfId="53" applyFont="1" applyFill="1" applyAlignment="1">
      <alignment vertical="center"/>
    </xf>
    <xf numFmtId="165" fontId="57" fillId="24" borderId="107" xfId="53" applyFont="1" applyFill="1" applyBorder="1" applyAlignment="1">
      <alignment vertical="center"/>
    </xf>
    <xf numFmtId="165" fontId="9" fillId="0" borderId="0" xfId="53" applyFont="1" applyAlignment="1">
      <alignment vertical="center"/>
    </xf>
    <xf numFmtId="165" fontId="41" fillId="0" borderId="0" xfId="53" applyAlignment="1" applyProtection="1">
      <alignment vertical="center"/>
      <protection locked="0"/>
    </xf>
    <xf numFmtId="165" fontId="23" fillId="26" borderId="31" xfId="53" applyFont="1" applyFill="1" applyBorder="1" applyAlignment="1">
      <alignment horizontal="center" vertical="center"/>
    </xf>
    <xf numFmtId="0" fontId="23" fillId="24" borderId="0" xfId="0" applyFont="1" applyFill="1"/>
    <xf numFmtId="1" fontId="9" fillId="25" borderId="31" xfId="53" applyNumberFormat="1" applyFont="1" applyFill="1" applyBorder="1" applyAlignment="1" applyProtection="1">
      <alignment vertical="center"/>
      <protection locked="0"/>
    </xf>
    <xf numFmtId="49" fontId="24" fillId="24" borderId="20" xfId="50" applyNumberFormat="1" applyFont="1" applyFill="1" applyBorder="1" applyAlignment="1" applyProtection="1">
      <alignment horizontal="left" vertical="center"/>
      <protection locked="0"/>
    </xf>
    <xf numFmtId="49" fontId="24" fillId="24" borderId="0" xfId="50" applyNumberFormat="1" applyFont="1" applyFill="1" applyAlignment="1" applyProtection="1">
      <alignment horizontal="left" vertical="center"/>
      <protection locked="0"/>
    </xf>
    <xf numFmtId="1" fontId="41" fillId="0" borderId="0" xfId="53" applyNumberFormat="1" applyAlignment="1">
      <alignment vertical="center"/>
    </xf>
    <xf numFmtId="1" fontId="9" fillId="25" borderId="31" xfId="0" applyNumberFormat="1" applyFont="1" applyFill="1" applyBorder="1" applyAlignment="1" applyProtection="1">
      <alignment vertical="center"/>
      <protection locked="0"/>
    </xf>
    <xf numFmtId="2" fontId="9" fillId="25" borderId="31" xfId="53" applyNumberFormat="1" applyFont="1" applyFill="1" applyBorder="1" applyAlignment="1" applyProtection="1">
      <alignment vertical="center"/>
      <protection locked="0"/>
    </xf>
    <xf numFmtId="0" fontId="70" fillId="24" borderId="0" xfId="0" applyFont="1" applyFill="1" applyAlignment="1">
      <alignment horizontal="center"/>
    </xf>
    <xf numFmtId="0" fontId="71" fillId="24" borderId="0" xfId="0" applyFont="1" applyFill="1" applyAlignment="1">
      <alignment horizontal="center"/>
    </xf>
    <xf numFmtId="168" fontId="0" fillId="24" borderId="0" xfId="0" applyNumberFormat="1" applyFill="1"/>
    <xf numFmtId="0" fontId="72" fillId="24" borderId="0" xfId="0" applyFont="1" applyFill="1"/>
    <xf numFmtId="0" fontId="73" fillId="24" borderId="0" xfId="0" applyFont="1" applyFill="1" applyAlignment="1">
      <alignment horizontal="right"/>
    </xf>
    <xf numFmtId="0" fontId="67" fillId="24" borderId="0" xfId="0" applyFont="1" applyFill="1"/>
    <xf numFmtId="0" fontId="28" fillId="24" borderId="31" xfId="0" applyFont="1" applyFill="1" applyBorder="1" applyAlignment="1">
      <alignment horizontal="center" wrapText="1"/>
    </xf>
    <xf numFmtId="0" fontId="28" fillId="24" borderId="31" xfId="0" applyFont="1" applyFill="1" applyBorder="1" applyAlignment="1">
      <alignment horizontal="center"/>
    </xf>
    <xf numFmtId="0" fontId="28" fillId="24" borderId="75" xfId="0" applyFont="1" applyFill="1" applyBorder="1" applyAlignment="1">
      <alignment horizontal="center" wrapText="1"/>
    </xf>
    <xf numFmtId="0" fontId="28" fillId="24" borderId="73" xfId="0" applyFont="1" applyFill="1" applyBorder="1" applyAlignment="1">
      <alignment horizontal="center"/>
    </xf>
    <xf numFmtId="0" fontId="19" fillId="24" borderId="60" xfId="0" applyFont="1" applyFill="1" applyBorder="1" applyAlignment="1">
      <alignment horizontal="left"/>
    </xf>
    <xf numFmtId="0" fontId="28" fillId="24" borderId="54" xfId="0" applyFont="1" applyFill="1" applyBorder="1" applyAlignment="1">
      <alignment horizontal="right"/>
    </xf>
    <xf numFmtId="165" fontId="22" fillId="0" borderId="0" xfId="53" applyFont="1" applyAlignment="1">
      <alignment horizontal="center" vertical="center"/>
    </xf>
    <xf numFmtId="3" fontId="0" fillId="0" borderId="122" xfId="0" applyNumberFormat="1" applyBorder="1" applyProtection="1">
      <protection locked="0"/>
    </xf>
    <xf numFmtId="0" fontId="22" fillId="24" borderId="0" xfId="0" applyFont="1" applyFill="1" applyAlignment="1">
      <alignment horizontal="center" vertical="top"/>
    </xf>
    <xf numFmtId="168" fontId="24" fillId="0" borderId="0" xfId="53" applyNumberFormat="1" applyFont="1" applyAlignment="1">
      <alignment vertical="center"/>
    </xf>
    <xf numFmtId="1" fontId="0" fillId="24" borderId="0" xfId="0" applyNumberFormat="1" applyFill="1"/>
    <xf numFmtId="165" fontId="41" fillId="24" borderId="0" xfId="53" applyFill="1" applyAlignment="1">
      <alignment vertical="center"/>
    </xf>
    <xf numFmtId="165" fontId="41" fillId="24" borderId="0" xfId="53" applyFill="1" applyAlignment="1" applyProtection="1">
      <alignment vertical="center"/>
      <protection locked="0"/>
    </xf>
    <xf numFmtId="1" fontId="41" fillId="0" borderId="0" xfId="53" applyNumberFormat="1" applyAlignment="1" applyProtection="1">
      <alignment vertical="center"/>
      <protection locked="0"/>
    </xf>
    <xf numFmtId="1" fontId="24" fillId="25" borderId="31" xfId="53" applyNumberFormat="1" applyFont="1" applyFill="1" applyBorder="1" applyAlignment="1" applyProtection="1">
      <alignment vertical="center"/>
      <protection locked="0"/>
    </xf>
    <xf numFmtId="3" fontId="19" fillId="24" borderId="31" xfId="0" applyNumberFormat="1" applyFont="1" applyFill="1" applyBorder="1" applyAlignment="1" applyProtection="1">
      <alignment wrapText="1"/>
      <protection locked="0"/>
    </xf>
    <xf numFmtId="3" fontId="19" fillId="24" borderId="31" xfId="0" applyNumberFormat="1" applyFont="1" applyFill="1" applyBorder="1" applyProtection="1">
      <protection locked="0"/>
    </xf>
    <xf numFmtId="3" fontId="19" fillId="24" borderId="75" xfId="0" applyNumberFormat="1" applyFont="1" applyFill="1" applyBorder="1" applyProtection="1">
      <protection locked="0"/>
    </xf>
    <xf numFmtId="3" fontId="19" fillId="24" borderId="73" xfId="0" applyNumberFormat="1" applyFont="1" applyFill="1" applyBorder="1" applyProtection="1">
      <protection locked="0"/>
    </xf>
    <xf numFmtId="3" fontId="19" fillId="24" borderId="75" xfId="0" applyNumberFormat="1" applyFont="1" applyFill="1" applyBorder="1" applyAlignment="1" applyProtection="1">
      <alignment horizontal="right"/>
      <protection locked="0"/>
    </xf>
    <xf numFmtId="3" fontId="19" fillId="24" borderId="123" xfId="0" applyNumberFormat="1" applyFont="1" applyFill="1" applyBorder="1" applyAlignment="1" applyProtection="1">
      <alignment horizontal="right"/>
      <protection locked="0"/>
    </xf>
    <xf numFmtId="3" fontId="19" fillId="24" borderId="48" xfId="0" applyNumberFormat="1" applyFont="1" applyFill="1" applyBorder="1" applyProtection="1">
      <protection locked="0"/>
    </xf>
    <xf numFmtId="3" fontId="19" fillId="24" borderId="123" xfId="0" applyNumberFormat="1" applyFont="1" applyFill="1" applyBorder="1" applyProtection="1">
      <protection locked="0"/>
    </xf>
    <xf numFmtId="3" fontId="19" fillId="24" borderId="124" xfId="0" applyNumberFormat="1" applyFont="1" applyFill="1" applyBorder="1" applyProtection="1">
      <protection locked="0"/>
    </xf>
    <xf numFmtId="169" fontId="19" fillId="24" borderId="64" xfId="0" applyNumberFormat="1" applyFont="1" applyFill="1" applyBorder="1" applyAlignment="1">
      <alignment horizontal="right"/>
    </xf>
    <xf numFmtId="169" fontId="19" fillId="24" borderId="47" xfId="0" applyNumberFormat="1" applyFont="1" applyFill="1" applyBorder="1" applyAlignment="1">
      <alignment horizontal="right"/>
    </xf>
    <xf numFmtId="169" fontId="19" fillId="24" borderId="44" xfId="0" applyNumberFormat="1" applyFont="1" applyFill="1" applyBorder="1" applyAlignment="1">
      <alignment horizontal="right"/>
    </xf>
    <xf numFmtId="3" fontId="3" fillId="0" borderId="44" xfId="57" applyNumberFormat="1" applyFont="1" applyBorder="1" applyProtection="1">
      <protection locked="0"/>
    </xf>
    <xf numFmtId="3" fontId="0" fillId="0" borderId="75" xfId="0" applyNumberFormat="1" applyBorder="1" applyProtection="1">
      <protection locked="0"/>
    </xf>
    <xf numFmtId="169" fontId="0" fillId="0" borderId="99" xfId="0" applyNumberFormat="1" applyBorder="1"/>
    <xf numFmtId="0" fontId="28" fillId="0" borderId="0" xfId="0" applyFont="1" applyAlignment="1">
      <alignment horizontal="left" vertical="center" wrapText="1"/>
    </xf>
    <xf numFmtId="0" fontId="6" fillId="0" borderId="31" xfId="0" applyFont="1" applyBorder="1" applyAlignment="1">
      <alignment horizontal="center" vertical="center"/>
    </xf>
    <xf numFmtId="0" fontId="6" fillId="0" borderId="31" xfId="0" applyFont="1" applyBorder="1" applyAlignment="1">
      <alignment horizontal="center" vertical="center" wrapText="1"/>
    </xf>
    <xf numFmtId="0" fontId="3" fillId="0" borderId="31" xfId="0" applyFont="1" applyBorder="1" applyAlignment="1">
      <alignment horizontal="center" vertical="center" wrapText="1"/>
    </xf>
    <xf numFmtId="0" fontId="25" fillId="0" borderId="31" xfId="0" applyFont="1" applyBorder="1" applyAlignment="1">
      <alignment horizontal="center" vertical="center" wrapText="1"/>
    </xf>
    <xf numFmtId="0" fontId="21" fillId="0" borderId="31" xfId="0" applyFont="1" applyBorder="1" applyAlignment="1">
      <alignment horizontal="center" vertical="center" wrapText="1"/>
    </xf>
    <xf numFmtId="0" fontId="97" fillId="0" borderId="31" xfId="0" applyFont="1" applyBorder="1" applyAlignment="1">
      <alignment horizontal="center" vertical="center" wrapText="1"/>
    </xf>
    <xf numFmtId="171" fontId="3" fillId="0" borderId="31" xfId="0" applyNumberFormat="1" applyFont="1" applyBorder="1" applyAlignment="1">
      <alignment horizontal="center"/>
    </xf>
    <xf numFmtId="171" fontId="3" fillId="0" borderId="31" xfId="32" applyNumberFormat="1" applyFont="1" applyBorder="1" applyAlignment="1"/>
    <xf numFmtId="170" fontId="3" fillId="0" borderId="31" xfId="0" applyNumberFormat="1" applyFont="1" applyBorder="1"/>
    <xf numFmtId="170" fontId="6" fillId="0" borderId="31" xfId="0" applyNumberFormat="1" applyFont="1" applyBorder="1"/>
    <xf numFmtId="170" fontId="98" fillId="0" borderId="31" xfId="0" applyNumberFormat="1" applyFont="1" applyBorder="1"/>
    <xf numFmtId="165" fontId="53" fillId="24" borderId="0" xfId="53" applyFont="1" applyFill="1" applyAlignment="1">
      <alignment vertical="center"/>
    </xf>
    <xf numFmtId="165" fontId="15" fillId="24" borderId="0" xfId="53" applyFont="1" applyFill="1" applyAlignment="1">
      <alignment vertical="center"/>
    </xf>
    <xf numFmtId="165" fontId="53" fillId="24" borderId="107" xfId="53" applyFont="1" applyFill="1" applyBorder="1" applyAlignment="1">
      <alignment vertical="center"/>
    </xf>
    <xf numFmtId="165" fontId="15" fillId="24" borderId="107" xfId="53" applyFont="1" applyFill="1" applyBorder="1" applyAlignment="1">
      <alignment vertical="center"/>
    </xf>
    <xf numFmtId="165" fontId="53" fillId="24" borderId="74" xfId="53" applyFont="1" applyFill="1" applyBorder="1" applyAlignment="1">
      <alignment vertical="center"/>
    </xf>
    <xf numFmtId="165" fontId="15" fillId="24" borderId="74" xfId="53" applyFont="1" applyFill="1" applyBorder="1" applyAlignment="1">
      <alignment vertical="center"/>
    </xf>
    <xf numFmtId="165" fontId="15" fillId="25" borderId="31" xfId="53" applyFont="1" applyFill="1" applyBorder="1" applyAlignment="1">
      <alignment vertical="center"/>
    </xf>
    <xf numFmtId="0" fontId="18" fillId="0" borderId="125" xfId="61" applyFont="1" applyBorder="1" applyAlignment="1">
      <alignment horizontal="centerContinuous" vertical="center"/>
    </xf>
    <xf numFmtId="3" fontId="3" fillId="0" borderId="126" xfId="61" applyNumberFormat="1" applyFont="1" applyBorder="1" applyProtection="1">
      <protection locked="0"/>
    </xf>
    <xf numFmtId="169" fontId="3" fillId="24" borderId="117" xfId="61" applyNumberFormat="1" applyFont="1" applyFill="1" applyBorder="1"/>
    <xf numFmtId="0" fontId="18" fillId="0" borderId="127" xfId="61" applyFont="1" applyBorder="1" applyAlignment="1">
      <alignment horizontal="centerContinuous" vertical="center"/>
    </xf>
    <xf numFmtId="0" fontId="39" fillId="0" borderId="28" xfId="61" applyFont="1" applyBorder="1" applyAlignment="1">
      <alignment horizontal="center"/>
    </xf>
    <xf numFmtId="3" fontId="3" fillId="0" borderId="104" xfId="61" applyNumberFormat="1" applyFont="1" applyBorder="1" applyProtection="1">
      <protection locked="0"/>
    </xf>
    <xf numFmtId="169" fontId="3" fillId="24" borderId="46" xfId="61" applyNumberFormat="1" applyFont="1" applyFill="1" applyBorder="1"/>
    <xf numFmtId="0" fontId="10" fillId="0" borderId="19" xfId="56" applyFont="1" applyBorder="1" applyAlignment="1">
      <alignment horizontal="center" vertical="center"/>
    </xf>
    <xf numFmtId="0" fontId="10" fillId="0" borderId="19" xfId="57" applyFont="1" applyBorder="1" applyAlignment="1">
      <alignment horizontal="center" vertical="center"/>
    </xf>
    <xf numFmtId="0" fontId="20" fillId="0" borderId="128" xfId="56" applyFont="1" applyBorder="1" applyAlignment="1">
      <alignment horizontal="center"/>
    </xf>
    <xf numFmtId="0" fontId="20" fillId="0" borderId="129" xfId="56" applyFont="1" applyBorder="1" applyAlignment="1">
      <alignment horizontal="center"/>
    </xf>
    <xf numFmtId="0" fontId="20" fillId="0" borderId="130" xfId="56" applyFont="1" applyBorder="1" applyAlignment="1">
      <alignment horizontal="center"/>
    </xf>
    <xf numFmtId="0" fontId="20" fillId="0" borderId="128" xfId="57" applyFont="1" applyBorder="1" applyAlignment="1">
      <alignment horizontal="center"/>
    </xf>
    <xf numFmtId="0" fontId="20" fillId="0" borderId="129" xfId="57" applyFont="1" applyBorder="1" applyAlignment="1">
      <alignment horizontal="center"/>
    </xf>
    <xf numFmtId="0" fontId="20" fillId="0" borderId="130" xfId="57" applyFont="1" applyBorder="1" applyAlignment="1">
      <alignment horizontal="center"/>
    </xf>
    <xf numFmtId="0" fontId="0" fillId="0" borderId="0" xfId="0" applyAlignment="1">
      <alignment vertical="top"/>
    </xf>
    <xf numFmtId="165" fontId="9" fillId="0" borderId="0" xfId="53" applyFont="1" applyAlignment="1">
      <alignment vertical="center" wrapText="1"/>
    </xf>
    <xf numFmtId="0" fontId="18" fillId="0" borderId="109" xfId="0" applyFont="1" applyBorder="1" applyAlignment="1">
      <alignment horizontal="center" vertical="center" wrapText="1"/>
    </xf>
    <xf numFmtId="49" fontId="15" fillId="25" borderId="60" xfId="53" applyNumberFormat="1" applyFont="1" applyFill="1" applyBorder="1" applyAlignment="1" applyProtection="1">
      <alignment horizontal="left" vertical="center"/>
      <protection locked="0"/>
    </xf>
    <xf numFmtId="49" fontId="15" fillId="25" borderId="31" xfId="53" applyNumberFormat="1" applyFont="1" applyFill="1" applyBorder="1" applyAlignment="1" applyProtection="1">
      <alignment horizontal="left" vertical="center"/>
      <protection locked="0"/>
    </xf>
    <xf numFmtId="49" fontId="15" fillId="25" borderId="47" xfId="50" applyNumberFormat="1" applyFont="1" applyFill="1" applyBorder="1" applyAlignment="1" applyProtection="1">
      <alignment horizontal="left" vertical="center"/>
      <protection locked="0"/>
    </xf>
    <xf numFmtId="49" fontId="15" fillId="25" borderId="60" xfId="0" applyNumberFormat="1" applyFont="1" applyFill="1" applyBorder="1" applyAlignment="1" applyProtection="1">
      <alignment horizontal="left" vertical="center"/>
      <protection locked="0"/>
    </xf>
    <xf numFmtId="49" fontId="15" fillId="25" borderId="31" xfId="50" applyNumberFormat="1" applyFont="1" applyFill="1" applyBorder="1" applyAlignment="1" applyProtection="1">
      <alignment horizontal="left" vertical="center"/>
      <protection locked="0"/>
    </xf>
    <xf numFmtId="49" fontId="8" fillId="25" borderId="56" xfId="22" applyNumberFormat="1" applyFill="1" applyBorder="1" applyAlignment="1" applyProtection="1">
      <alignment horizontal="left" vertical="center"/>
      <protection locked="0"/>
    </xf>
    <xf numFmtId="49" fontId="15" fillId="25" borderId="31" xfId="0" applyNumberFormat="1" applyFont="1" applyFill="1" applyBorder="1" applyAlignment="1" applyProtection="1">
      <alignment horizontal="left"/>
      <protection locked="0"/>
    </xf>
    <xf numFmtId="0" fontId="13" fillId="0" borderId="97" xfId="0" applyFont="1" applyBorder="1" applyAlignment="1">
      <alignment horizontal="center" vertical="center" wrapText="1"/>
    </xf>
    <xf numFmtId="0" fontId="10" fillId="0" borderId="97" xfId="0" applyFont="1" applyBorder="1" applyAlignment="1">
      <alignment horizontal="center" wrapText="1"/>
    </xf>
    <xf numFmtId="0" fontId="3" fillId="0" borderId="97" xfId="0" applyFont="1" applyBorder="1" applyAlignment="1">
      <alignment horizontal="center"/>
    </xf>
    <xf numFmtId="0" fontId="3" fillId="0" borderId="57" xfId="0" applyFont="1" applyBorder="1" applyAlignment="1">
      <alignment horizontal="left"/>
    </xf>
    <xf numFmtId="3" fontId="3" fillId="24" borderId="48" xfId="0" applyNumberFormat="1" applyFont="1" applyFill="1" applyBorder="1"/>
    <xf numFmtId="3" fontId="3" fillId="0" borderId="48" xfId="0" applyNumberFormat="1" applyFont="1" applyBorder="1"/>
    <xf numFmtId="0" fontId="3" fillId="0" borderId="131" xfId="0" applyFont="1" applyBorder="1" applyAlignment="1">
      <alignment horizontal="center"/>
    </xf>
    <xf numFmtId="0" fontId="3" fillId="0" borderId="100" xfId="61" applyFont="1" applyBorder="1" applyAlignment="1">
      <alignment horizontal="center"/>
    </xf>
    <xf numFmtId="0" fontId="20" fillId="0" borderId="109" xfId="0" applyFont="1" applyBorder="1" applyAlignment="1">
      <alignment horizontal="center" vertical="center" wrapText="1"/>
    </xf>
    <xf numFmtId="0" fontId="11" fillId="0" borderId="31" xfId="0" applyFont="1" applyBorder="1" applyAlignment="1">
      <alignment horizontal="center" vertical="center" wrapText="1"/>
    </xf>
    <xf numFmtId="0" fontId="3" fillId="0" borderId="40" xfId="0" applyFont="1" applyBorder="1" applyAlignment="1">
      <alignment horizontal="centerContinuous" vertical="center" wrapText="1"/>
    </xf>
    <xf numFmtId="0" fontId="36" fillId="0" borderId="31" xfId="0" applyFont="1" applyBorder="1"/>
    <xf numFmtId="0" fontId="136" fillId="0" borderId="31" xfId="0" applyFont="1" applyBorder="1"/>
    <xf numFmtId="165" fontId="53" fillId="30" borderId="0" xfId="53" applyFont="1" applyFill="1" applyAlignment="1">
      <alignment vertical="center"/>
    </xf>
    <xf numFmtId="165" fontId="61" fillId="30" borderId="0" xfId="53" applyFont="1" applyFill="1" applyAlignment="1">
      <alignment vertical="center"/>
    </xf>
    <xf numFmtId="1" fontId="9" fillId="30" borderId="0" xfId="53" applyNumberFormat="1" applyFont="1" applyFill="1" applyAlignment="1">
      <alignment vertical="center"/>
    </xf>
    <xf numFmtId="0" fontId="25" fillId="0" borderId="45" xfId="0" applyFont="1" applyBorder="1"/>
    <xf numFmtId="0" fontId="10" fillId="0" borderId="87" xfId="0" applyFont="1" applyBorder="1" applyAlignment="1">
      <alignment horizontal="center" vertical="center" wrapText="1"/>
    </xf>
    <xf numFmtId="0" fontId="10" fillId="0" borderId="132" xfId="0" applyFont="1" applyBorder="1" applyAlignment="1">
      <alignment horizontal="center" vertical="center" wrapText="1"/>
    </xf>
    <xf numFmtId="0" fontId="10" fillId="0" borderId="133" xfId="0" applyFont="1" applyBorder="1" applyAlignment="1">
      <alignment horizontal="center" vertical="center" wrapText="1"/>
    </xf>
    <xf numFmtId="0" fontId="10" fillId="0" borderId="134" xfId="0" applyFont="1" applyBorder="1" applyAlignment="1">
      <alignment horizontal="center" vertical="center" wrapText="1"/>
    </xf>
    <xf numFmtId="0" fontId="25" fillId="0" borderId="135" xfId="0" applyFont="1" applyBorder="1"/>
    <xf numFmtId="0" fontId="3" fillId="0" borderId="52" xfId="0" applyFont="1" applyBorder="1" applyAlignment="1">
      <alignment horizontal="center"/>
    </xf>
    <xf numFmtId="0" fontId="3" fillId="0" borderId="35" xfId="0" applyFont="1" applyBorder="1" applyAlignment="1">
      <alignment horizontal="justify" wrapText="1"/>
    </xf>
    <xf numFmtId="0" fontId="3" fillId="0" borderId="45" xfId="0" applyFont="1" applyBorder="1" applyAlignment="1">
      <alignment horizontal="justify" wrapText="1"/>
    </xf>
    <xf numFmtId="165" fontId="61" fillId="24" borderId="120" xfId="53" applyFont="1" applyFill="1" applyBorder="1" applyAlignment="1">
      <alignment horizontal="left" vertical="center"/>
    </xf>
    <xf numFmtId="165" fontId="105" fillId="24" borderId="0" xfId="53" applyFont="1" applyFill="1" applyAlignment="1">
      <alignment vertical="center"/>
    </xf>
    <xf numFmtId="0" fontId="3" fillId="0" borderId="57" xfId="0" applyFont="1" applyBorder="1" applyAlignment="1">
      <alignment horizontal="justify" wrapText="1"/>
    </xf>
    <xf numFmtId="0" fontId="9" fillId="0" borderId="0" xfId="51" applyFont="1" applyAlignment="1">
      <alignment vertical="center"/>
    </xf>
    <xf numFmtId="165" fontId="9" fillId="0" borderId="0" xfId="53" applyFont="1" applyAlignment="1">
      <alignment horizontal="right" vertical="center"/>
    </xf>
    <xf numFmtId="165" fontId="94" fillId="0" borderId="0" xfId="53" applyFont="1" applyAlignment="1">
      <alignment horizontal="left" vertical="center"/>
    </xf>
    <xf numFmtId="165" fontId="94" fillId="0" borderId="0" xfId="53" applyFont="1" applyAlignment="1">
      <alignment horizontal="right" vertical="center"/>
    </xf>
    <xf numFmtId="165" fontId="94" fillId="0" borderId="0" xfId="53" applyFont="1" applyAlignment="1">
      <alignment vertical="center"/>
    </xf>
    <xf numFmtId="1" fontId="15" fillId="26" borderId="31" xfId="53" applyNumberFormat="1" applyFont="1" applyFill="1" applyBorder="1" applyAlignment="1">
      <alignment vertical="center"/>
    </xf>
    <xf numFmtId="165" fontId="62" fillId="0" borderId="74" xfId="53" applyFont="1" applyBorder="1" applyAlignment="1">
      <alignment vertical="center" wrapText="1"/>
    </xf>
    <xf numFmtId="165" fontId="106" fillId="0" borderId="74" xfId="53" applyFont="1" applyBorder="1" applyAlignment="1">
      <alignment vertical="center" wrapText="1"/>
    </xf>
    <xf numFmtId="0" fontId="10" fillId="0" borderId="58" xfId="0" applyFont="1" applyBorder="1" applyAlignment="1">
      <alignment horizontal="center" vertical="center" wrapText="1"/>
    </xf>
    <xf numFmtId="0" fontId="6" fillId="0" borderId="97" xfId="0" applyFont="1" applyBorder="1" applyAlignment="1">
      <alignment horizontal="center" wrapText="1"/>
    </xf>
    <xf numFmtId="0" fontId="6" fillId="0" borderId="98" xfId="0" applyFont="1" applyBorder="1" applyAlignment="1">
      <alignment horizontal="center" wrapText="1"/>
    </xf>
    <xf numFmtId="0" fontId="6" fillId="0" borderId="131" xfId="0" applyFont="1" applyBorder="1" applyAlignment="1">
      <alignment horizontal="center" wrapText="1"/>
    </xf>
    <xf numFmtId="165" fontId="106" fillId="0" borderId="125" xfId="53" applyFont="1" applyBorder="1" applyAlignment="1">
      <alignment vertical="center" wrapText="1"/>
    </xf>
    <xf numFmtId="3" fontId="19" fillId="24" borderId="75" xfId="0" applyNumberFormat="1" applyFont="1" applyFill="1" applyBorder="1" applyAlignment="1" applyProtection="1">
      <alignment wrapText="1"/>
      <protection locked="0"/>
    </xf>
    <xf numFmtId="3" fontId="14" fillId="0" borderId="75" xfId="57" applyNumberFormat="1" applyFont="1" applyBorder="1" applyProtection="1">
      <protection locked="0"/>
    </xf>
    <xf numFmtId="3" fontId="14" fillId="0" borderId="73" xfId="57" applyNumberFormat="1" applyFont="1" applyBorder="1" applyProtection="1">
      <protection locked="0"/>
    </xf>
    <xf numFmtId="3" fontId="14" fillId="0" borderId="126" xfId="57" applyNumberFormat="1" applyFont="1" applyBorder="1" applyProtection="1">
      <protection locked="0"/>
    </xf>
    <xf numFmtId="3" fontId="14" fillId="0" borderId="56" xfId="57" applyNumberFormat="1" applyFont="1" applyBorder="1" applyProtection="1">
      <protection locked="0"/>
    </xf>
    <xf numFmtId="3" fontId="14" fillId="0" borderId="60" xfId="57" applyNumberFormat="1" applyFont="1" applyBorder="1" applyProtection="1">
      <protection locked="0"/>
    </xf>
    <xf numFmtId="3" fontId="14" fillId="0" borderId="62" xfId="57" applyNumberFormat="1" applyFont="1" applyBorder="1" applyProtection="1">
      <protection locked="0"/>
    </xf>
    <xf numFmtId="3" fontId="14" fillId="0" borderId="44" xfId="57" applyNumberFormat="1" applyFont="1" applyBorder="1" applyProtection="1">
      <protection locked="0"/>
    </xf>
    <xf numFmtId="3" fontId="14" fillId="0" borderId="64" xfId="57" applyNumberFormat="1" applyFont="1" applyBorder="1" applyProtection="1">
      <protection locked="0"/>
    </xf>
    <xf numFmtId="3" fontId="14" fillId="0" borderId="74" xfId="57" applyNumberFormat="1" applyFont="1" applyBorder="1" applyProtection="1">
      <protection locked="0"/>
    </xf>
    <xf numFmtId="3" fontId="14" fillId="0" borderId="55" xfId="57" applyNumberFormat="1" applyFont="1" applyBorder="1" applyProtection="1">
      <protection locked="0"/>
    </xf>
    <xf numFmtId="3" fontId="3" fillId="0" borderId="136" xfId="0" applyNumberFormat="1" applyFont="1" applyBorder="1" applyProtection="1">
      <protection locked="0"/>
    </xf>
    <xf numFmtId="3" fontId="3" fillId="0" borderId="89" xfId="0" applyNumberFormat="1" applyFont="1" applyBorder="1" applyProtection="1">
      <protection locked="0"/>
    </xf>
    <xf numFmtId="3" fontId="3" fillId="0" borderId="75" xfId="0" applyNumberFormat="1" applyFont="1" applyBorder="1" applyProtection="1">
      <protection locked="0"/>
    </xf>
    <xf numFmtId="3" fontId="3" fillId="0" borderId="31" xfId="0" applyNumberFormat="1" applyFont="1" applyBorder="1" applyAlignment="1">
      <alignment horizontal="center"/>
    </xf>
    <xf numFmtId="3" fontId="3" fillId="0" borderId="52" xfId="0" applyNumberFormat="1" applyFont="1" applyBorder="1" applyAlignment="1">
      <alignment horizontal="center"/>
    </xf>
    <xf numFmtId="3" fontId="14" fillId="0" borderId="31" xfId="32" applyNumberFormat="1" applyFont="1" applyBorder="1" applyAlignment="1"/>
    <xf numFmtId="0" fontId="137" fillId="0" borderId="0" xfId="0" applyFont="1" applyAlignment="1">
      <alignment horizontal="left" vertical="top"/>
    </xf>
    <xf numFmtId="0" fontId="3" fillId="0" borderId="0" xfId="50" applyFont="1" applyAlignment="1">
      <alignment vertical="center"/>
    </xf>
    <xf numFmtId="0" fontId="3" fillId="0" borderId="30" xfId="0" applyFont="1" applyBorder="1" applyAlignment="1">
      <alignment horizontal="centerContinuous" vertical="center" wrapText="1"/>
    </xf>
    <xf numFmtId="0" fontId="3" fillId="0" borderId="0" xfId="0" applyFont="1" applyAlignment="1">
      <alignment horizontal="center" vertical="top"/>
    </xf>
    <xf numFmtId="0" fontId="2" fillId="0" borderId="0" xfId="0" applyFont="1" applyAlignment="1">
      <alignment horizontal="right" vertical="top"/>
    </xf>
    <xf numFmtId="0" fontId="3" fillId="31" borderId="33" xfId="0" applyFont="1" applyFill="1" applyBorder="1"/>
    <xf numFmtId="0" fontId="3" fillId="31" borderId="32" xfId="0" applyFont="1" applyFill="1" applyBorder="1"/>
    <xf numFmtId="0" fontId="6" fillId="31" borderId="137" xfId="0" applyFont="1" applyFill="1" applyBorder="1" applyAlignment="1">
      <alignment horizontal="centerContinuous" vertical="center" wrapText="1"/>
    </xf>
    <xf numFmtId="0" fontId="6" fillId="31" borderId="40" xfId="0" applyFont="1" applyFill="1" applyBorder="1" applyAlignment="1">
      <alignment horizontal="centerContinuous" vertical="center" wrapText="1"/>
    </xf>
    <xf numFmtId="0" fontId="20" fillId="0" borderId="0" xfId="0" applyFont="1" applyAlignment="1">
      <alignment horizontal="center" vertical="top"/>
    </xf>
    <xf numFmtId="0" fontId="20" fillId="31" borderId="19" xfId="0" applyFont="1" applyFill="1" applyBorder="1" applyAlignment="1">
      <alignment horizontal="center"/>
    </xf>
    <xf numFmtId="0" fontId="20" fillId="31" borderId="36" xfId="0" applyFont="1" applyFill="1" applyBorder="1" applyAlignment="1">
      <alignment horizontal="center"/>
    </xf>
    <xf numFmtId="0" fontId="138" fillId="0" borderId="0" xfId="0" applyFont="1" applyAlignment="1">
      <alignment horizontal="center" vertical="center"/>
    </xf>
    <xf numFmtId="169" fontId="3" fillId="31" borderId="45" xfId="0" applyNumberFormat="1" applyFont="1" applyFill="1" applyBorder="1"/>
    <xf numFmtId="169" fontId="3" fillId="31" borderId="97" xfId="0" applyNumberFormat="1" applyFont="1" applyFill="1" applyBorder="1"/>
    <xf numFmtId="169" fontId="3" fillId="31" borderId="68" xfId="0" applyNumberFormat="1" applyFont="1" applyFill="1" applyBorder="1"/>
    <xf numFmtId="169" fontId="3" fillId="31" borderId="70" xfId="0" applyNumberFormat="1" applyFont="1" applyFill="1" applyBorder="1"/>
    <xf numFmtId="165" fontId="5" fillId="0" borderId="0" xfId="53" applyFont="1" applyAlignment="1">
      <alignment vertical="center"/>
    </xf>
    <xf numFmtId="165" fontId="15" fillId="0" borderId="0" xfId="53" applyFont="1" applyAlignment="1">
      <alignment vertical="center"/>
    </xf>
    <xf numFmtId="165" fontId="3" fillId="0" borderId="74" xfId="53" applyFont="1" applyBorder="1" applyAlignment="1">
      <alignment vertical="center"/>
    </xf>
    <xf numFmtId="49" fontId="15" fillId="0" borderId="31" xfId="53" applyNumberFormat="1" applyFont="1" applyBorder="1" applyAlignment="1" applyProtection="1">
      <alignment horizontal="left" vertical="center"/>
      <protection locked="0"/>
    </xf>
    <xf numFmtId="49" fontId="8" fillId="0" borderId="56" xfId="22" applyNumberFormat="1" applyFill="1" applyBorder="1" applyAlignment="1" applyProtection="1">
      <alignment horizontal="left" vertical="center"/>
      <protection locked="0"/>
    </xf>
    <xf numFmtId="49" fontId="15" fillId="0" borderId="31" xfId="0" applyNumberFormat="1" applyFont="1" applyBorder="1" applyAlignment="1" applyProtection="1">
      <alignment horizontal="left"/>
      <protection locked="0"/>
    </xf>
    <xf numFmtId="165" fontId="15" fillId="0" borderId="0" xfId="53" applyFont="1" applyAlignment="1">
      <alignment horizontal="left" vertical="center"/>
    </xf>
    <xf numFmtId="0" fontId="23" fillId="0" borderId="0" xfId="0" applyFont="1" applyAlignment="1">
      <alignment wrapText="1"/>
    </xf>
    <xf numFmtId="0" fontId="15" fillId="0" borderId="112" xfId="0" applyFont="1" applyBorder="1" applyAlignment="1">
      <alignment horizontal="left" vertical="center" wrapText="1"/>
    </xf>
    <xf numFmtId="3" fontId="3" fillId="24" borderId="113" xfId="0" applyNumberFormat="1" applyFont="1" applyFill="1" applyBorder="1" applyAlignment="1">
      <alignment horizontal="center" vertical="center"/>
    </xf>
    <xf numFmtId="0" fontId="15" fillId="0" borderId="45" xfId="0" applyFont="1" applyBorder="1" applyAlignment="1">
      <alignment horizontal="left" vertical="center" wrapText="1"/>
    </xf>
    <xf numFmtId="3" fontId="3" fillId="24" borderId="31" xfId="0" applyNumberFormat="1" applyFont="1" applyFill="1" applyBorder="1" applyAlignment="1">
      <alignment horizontal="center" vertical="center"/>
    </xf>
    <xf numFmtId="0" fontId="15" fillId="0" borderId="57" xfId="0" applyFont="1" applyBorder="1" applyAlignment="1">
      <alignment horizontal="left" vertical="center" wrapText="1"/>
    </xf>
    <xf numFmtId="3" fontId="3" fillId="24" borderId="48" xfId="0" applyNumberFormat="1" applyFont="1" applyFill="1" applyBorder="1" applyAlignment="1">
      <alignment horizontal="center" vertical="center"/>
    </xf>
    <xf numFmtId="0" fontId="10" fillId="0" borderId="68" xfId="0" applyFont="1" applyBorder="1" applyAlignment="1">
      <alignment horizontal="center" vertical="center" wrapText="1"/>
    </xf>
    <xf numFmtId="0" fontId="10" fillId="0" borderId="69" xfId="0" applyFont="1" applyBorder="1" applyAlignment="1">
      <alignment horizontal="center" vertical="center" wrapText="1"/>
    </xf>
    <xf numFmtId="0" fontId="10" fillId="0" borderId="70" xfId="0" applyFont="1" applyBorder="1" applyAlignment="1">
      <alignment horizontal="center" vertical="center" wrapText="1"/>
    </xf>
    <xf numFmtId="0" fontId="3" fillId="0" borderId="18" xfId="0" applyFont="1" applyBorder="1" applyAlignment="1">
      <alignment horizontal="left" vertical="center" wrapText="1"/>
    </xf>
    <xf numFmtId="3" fontId="3" fillId="24" borderId="47" xfId="0" applyNumberFormat="1" applyFont="1" applyFill="1" applyBorder="1" applyAlignment="1">
      <alignment horizontal="center" vertical="center"/>
    </xf>
    <xf numFmtId="3" fontId="3" fillId="0" borderId="47" xfId="0" applyNumberFormat="1" applyFont="1" applyBorder="1" applyAlignment="1">
      <alignment horizontal="center" vertical="center"/>
    </xf>
    <xf numFmtId="0" fontId="3" fillId="0" borderId="57" xfId="0" applyFont="1" applyBorder="1" applyAlignment="1">
      <alignment horizontal="left" vertical="center" wrapText="1"/>
    </xf>
    <xf numFmtId="3" fontId="3" fillId="0" borderId="48" xfId="0" applyNumberFormat="1" applyFont="1" applyBorder="1" applyAlignment="1">
      <alignment horizontal="center" vertical="center"/>
    </xf>
    <xf numFmtId="0" fontId="6" fillId="32" borderId="68" xfId="0" applyFont="1" applyFill="1" applyBorder="1" applyAlignment="1">
      <alignment horizontal="center" vertical="center"/>
    </xf>
    <xf numFmtId="0" fontId="6" fillId="32" borderId="69" xfId="0" applyFont="1" applyFill="1" applyBorder="1" applyAlignment="1">
      <alignment horizontal="center" vertical="center" wrapText="1"/>
    </xf>
    <xf numFmtId="0" fontId="6" fillId="32" borderId="70" xfId="0" applyFont="1" applyFill="1" applyBorder="1" applyAlignment="1">
      <alignment horizontal="center" vertical="center" wrapText="1"/>
    </xf>
    <xf numFmtId="0" fontId="3" fillId="0" borderId="18" xfId="0" applyFont="1" applyBorder="1" applyAlignment="1">
      <alignment horizontal="justify" wrapText="1"/>
    </xf>
    <xf numFmtId="3" fontId="15" fillId="0" borderId="47" xfId="0" applyNumberFormat="1" applyFont="1" applyBorder="1" applyAlignment="1">
      <alignment vertical="center"/>
    </xf>
    <xf numFmtId="0" fontId="25" fillId="0" borderId="0" xfId="0" applyFont="1"/>
    <xf numFmtId="3" fontId="15" fillId="0" borderId="31" xfId="0" applyNumberFormat="1" applyFont="1" applyBorder="1" applyAlignment="1">
      <alignment vertical="center"/>
    </xf>
    <xf numFmtId="3" fontId="15" fillId="0" borderId="47" xfId="0" applyNumberFormat="1" applyFont="1" applyBorder="1" applyProtection="1">
      <protection locked="0"/>
    </xf>
    <xf numFmtId="4" fontId="3" fillId="0" borderId="45" xfId="0" applyNumberFormat="1" applyFont="1" applyBorder="1" applyAlignment="1">
      <alignment horizontal="justify"/>
    </xf>
    <xf numFmtId="3" fontId="15" fillId="0" borderId="31" xfId="0" applyNumberFormat="1" applyFont="1" applyBorder="1" applyProtection="1">
      <protection locked="0"/>
    </xf>
    <xf numFmtId="3" fontId="15" fillId="0" borderId="31" xfId="0" applyNumberFormat="1" applyFont="1" applyBorder="1" applyAlignment="1">
      <alignment horizontal="right" vertical="center"/>
    </xf>
    <xf numFmtId="0" fontId="3" fillId="0" borderId="45" xfId="0" applyFont="1" applyBorder="1" applyAlignment="1">
      <alignment horizontal="justify"/>
    </xf>
    <xf numFmtId="3" fontId="15" fillId="0" borderId="48" xfId="0" applyNumberFormat="1" applyFont="1" applyBorder="1" applyAlignment="1">
      <alignment vertical="center"/>
    </xf>
    <xf numFmtId="3" fontId="15" fillId="0" borderId="48" xfId="0" applyNumberFormat="1" applyFont="1" applyBorder="1" applyProtection="1">
      <protection locked="0"/>
    </xf>
    <xf numFmtId="0" fontId="23" fillId="0" borderId="68" xfId="0" applyFont="1" applyBorder="1" applyAlignment="1">
      <alignment horizontal="center" vertical="center" wrapText="1"/>
    </xf>
    <xf numFmtId="3" fontId="23" fillId="0" borderId="69" xfId="0" applyNumberFormat="1" applyFont="1" applyBorder="1" applyAlignment="1">
      <alignment vertical="center"/>
    </xf>
    <xf numFmtId="0" fontId="9" fillId="32" borderId="70" xfId="0" applyFont="1" applyFill="1" applyBorder="1" applyAlignment="1">
      <alignment horizontal="center" vertical="center" wrapText="1"/>
    </xf>
    <xf numFmtId="0" fontId="0" fillId="0" borderId="113" xfId="0" applyBorder="1"/>
    <xf numFmtId="0" fontId="0" fillId="0" borderId="116" xfId="0" applyBorder="1"/>
    <xf numFmtId="0" fontId="3" fillId="0" borderId="31" xfId="0" applyFont="1" applyBorder="1" applyAlignment="1">
      <alignment horizontal="justify" vertical="center" wrapText="1"/>
    </xf>
    <xf numFmtId="0" fontId="9" fillId="32" borderId="70" xfId="0" applyFont="1" applyFill="1" applyBorder="1" applyAlignment="1">
      <alignment horizontal="center" vertical="center"/>
    </xf>
    <xf numFmtId="1" fontId="0" fillId="0" borderId="0" xfId="0" applyNumberFormat="1"/>
    <xf numFmtId="165" fontId="66" fillId="24" borderId="120" xfId="53" applyFont="1" applyFill="1" applyBorder="1" applyAlignment="1">
      <alignment horizontal="left" vertical="center" wrapText="1"/>
    </xf>
    <xf numFmtId="165" fontId="41" fillId="24" borderId="120" xfId="53" applyFill="1" applyBorder="1" applyAlignment="1">
      <alignment horizontal="left" vertical="center"/>
    </xf>
    <xf numFmtId="165" fontId="66" fillId="24" borderId="120" xfId="53" applyFont="1" applyFill="1" applyBorder="1" applyAlignment="1">
      <alignment horizontal="left" vertical="center"/>
    </xf>
    <xf numFmtId="165" fontId="41" fillId="24" borderId="55" xfId="53" applyFill="1" applyBorder="1" applyAlignment="1">
      <alignment horizontal="left" vertical="center"/>
    </xf>
    <xf numFmtId="165" fontId="41" fillId="24" borderId="0" xfId="53" applyFill="1" applyAlignment="1">
      <alignment horizontal="left" vertical="center"/>
    </xf>
    <xf numFmtId="165" fontId="5" fillId="0" borderId="31" xfId="53" applyFont="1" applyBorder="1" applyAlignment="1">
      <alignment horizontal="center" vertical="center"/>
    </xf>
    <xf numFmtId="0" fontId="3" fillId="0" borderId="60" xfId="0" applyFont="1" applyBorder="1" applyAlignment="1">
      <alignment horizontal="center"/>
    </xf>
    <xf numFmtId="0" fontId="3" fillId="0" borderId="138" xfId="0" applyFont="1" applyBorder="1" applyAlignment="1">
      <alignment horizontal="center"/>
    </xf>
    <xf numFmtId="165" fontId="15" fillId="30" borderId="0" xfId="53" applyFont="1" applyFill="1" applyAlignment="1">
      <alignment vertical="center" wrapText="1"/>
    </xf>
    <xf numFmtId="165" fontId="23" fillId="30" borderId="0" xfId="53" applyFont="1" applyFill="1" applyAlignment="1">
      <alignment horizontal="left" vertical="center" wrapText="1"/>
    </xf>
    <xf numFmtId="168" fontId="41" fillId="24" borderId="120" xfId="53" applyNumberFormat="1" applyFill="1" applyBorder="1" applyAlignment="1">
      <alignment horizontal="left" vertical="center"/>
    </xf>
    <xf numFmtId="168" fontId="41" fillId="24" borderId="121" xfId="53" applyNumberFormat="1" applyFill="1" applyBorder="1" applyAlignment="1">
      <alignment horizontal="left" vertical="center"/>
    </xf>
    <xf numFmtId="0" fontId="61" fillId="30" borderId="120" xfId="36" applyFont="1" applyFill="1" applyBorder="1" applyAlignment="1">
      <alignment horizontal="left" vertical="center"/>
    </xf>
    <xf numFmtId="165" fontId="15" fillId="25" borderId="52" xfId="53" applyFont="1" applyFill="1" applyBorder="1" applyAlignment="1">
      <alignment vertical="center"/>
    </xf>
    <xf numFmtId="165" fontId="66" fillId="24" borderId="121" xfId="53" applyFont="1" applyFill="1" applyBorder="1" applyAlignment="1">
      <alignment horizontal="left" vertical="center"/>
    </xf>
    <xf numFmtId="3" fontId="3" fillId="0" borderId="75" xfId="57" applyNumberFormat="1" applyFont="1" applyBorder="1" applyProtection="1">
      <protection locked="0"/>
    </xf>
    <xf numFmtId="3" fontId="3" fillId="0" borderId="73" xfId="57" applyNumberFormat="1" applyFont="1" applyBorder="1" applyProtection="1">
      <protection locked="0"/>
    </xf>
    <xf numFmtId="3" fontId="3" fillId="0" borderId="126" xfId="57" applyNumberFormat="1" applyFont="1" applyBorder="1" applyProtection="1">
      <protection locked="0"/>
    </xf>
    <xf numFmtId="3" fontId="3" fillId="0" borderId="64" xfId="57" applyNumberFormat="1" applyFont="1" applyBorder="1" applyProtection="1">
      <protection locked="0"/>
    </xf>
    <xf numFmtId="169" fontId="3" fillId="24" borderId="105" xfId="57" applyNumberFormat="1" applyFont="1" applyFill="1" applyBorder="1"/>
    <xf numFmtId="169" fontId="3" fillId="24" borderId="100" xfId="57" applyNumberFormat="1" applyFont="1" applyFill="1" applyBorder="1"/>
    <xf numFmtId="0" fontId="3" fillId="0" borderId="34" xfId="0" applyFont="1" applyBorder="1" applyAlignment="1">
      <alignment horizontal="justify"/>
    </xf>
    <xf numFmtId="0" fontId="15" fillId="0" borderId="47" xfId="0" applyFont="1" applyBorder="1" applyAlignment="1">
      <alignment horizontal="center"/>
    </xf>
    <xf numFmtId="0" fontId="0" fillId="0" borderId="0" xfId="0" applyAlignment="1">
      <alignment horizontal="left"/>
    </xf>
    <xf numFmtId="0" fontId="110" fillId="0" borderId="0" xfId="0" applyFont="1" applyAlignment="1">
      <alignment wrapText="1"/>
    </xf>
    <xf numFmtId="0" fontId="0" fillId="0" borderId="0" xfId="0" applyAlignment="1" applyProtection="1">
      <alignment horizontal="left"/>
      <protection locked="0"/>
    </xf>
    <xf numFmtId="0" fontId="59" fillId="0" borderId="0" xfId="0" applyFont="1" applyAlignment="1">
      <alignment horizontal="center" vertical="center" wrapText="1"/>
    </xf>
    <xf numFmtId="1" fontId="15" fillId="25" borderId="31" xfId="53" applyNumberFormat="1" applyFont="1" applyFill="1" applyBorder="1" applyAlignment="1" applyProtection="1">
      <alignment vertical="center"/>
      <protection locked="0"/>
    </xf>
    <xf numFmtId="0" fontId="112" fillId="0" borderId="0" xfId="0" applyFont="1" applyAlignment="1">
      <alignment horizontal="left" vertical="center"/>
    </xf>
    <xf numFmtId="40" fontId="3" fillId="24" borderId="113" xfId="32" applyFont="1" applyFill="1" applyBorder="1" applyAlignment="1">
      <alignment horizontal="center"/>
    </xf>
    <xf numFmtId="40" fontId="3" fillId="24" borderId="31" xfId="32" applyFont="1" applyFill="1" applyBorder="1" applyAlignment="1">
      <alignment horizontal="center"/>
    </xf>
    <xf numFmtId="40" fontId="3" fillId="24" borderId="48" xfId="32" applyFont="1" applyFill="1" applyBorder="1" applyAlignment="1">
      <alignment horizontal="center"/>
    </xf>
    <xf numFmtId="0" fontId="3" fillId="0" borderId="19" xfId="0" applyFont="1" applyBorder="1" applyAlignment="1">
      <alignment horizontal="justify"/>
    </xf>
    <xf numFmtId="0" fontId="23" fillId="0" borderId="112" xfId="0" applyFont="1" applyBorder="1" applyAlignment="1">
      <alignment horizontal="center" vertical="center"/>
    </xf>
    <xf numFmtId="0" fontId="23" fillId="0" borderId="116" xfId="0" applyFont="1" applyBorder="1" applyAlignment="1">
      <alignment horizontal="center" vertical="center" wrapText="1"/>
    </xf>
    <xf numFmtId="0" fontId="23" fillId="24" borderId="0" xfId="0" applyFont="1" applyFill="1" applyAlignment="1">
      <alignment horizontal="center" vertical="center" wrapText="1"/>
    </xf>
    <xf numFmtId="0" fontId="15" fillId="0" borderId="45" xfId="0" applyFont="1" applyBorder="1" applyAlignment="1">
      <alignment horizontal="centerContinuous"/>
    </xf>
    <xf numFmtId="0" fontId="102" fillId="0" borderId="60" xfId="0" applyFont="1" applyBorder="1" applyAlignment="1">
      <alignment horizontal="center"/>
    </xf>
    <xf numFmtId="0" fontId="113" fillId="0" borderId="112" xfId="0" applyFont="1" applyBorder="1" applyAlignment="1">
      <alignment horizontal="center"/>
    </xf>
    <xf numFmtId="0" fontId="113" fillId="0" borderId="113" xfId="0" applyFont="1" applyBorder="1" applyAlignment="1">
      <alignment horizontal="center"/>
    </xf>
    <xf numFmtId="0" fontId="113" fillId="0" borderId="116" xfId="0" applyFont="1" applyBorder="1" applyAlignment="1">
      <alignment horizontal="center"/>
    </xf>
    <xf numFmtId="0" fontId="113" fillId="0" borderId="0" xfId="0" applyFont="1" applyAlignment="1">
      <alignment horizontal="center"/>
    </xf>
    <xf numFmtId="0" fontId="10" fillId="0" borderId="45" xfId="0" applyFont="1" applyBorder="1" applyAlignment="1">
      <alignment horizontal="center" vertical="center"/>
    </xf>
    <xf numFmtId="0" fontId="10" fillId="0" borderId="60" xfId="0" applyFont="1" applyBorder="1" applyAlignment="1">
      <alignment horizontal="center" vertical="center" wrapText="1"/>
    </xf>
    <xf numFmtId="1" fontId="11" fillId="0" borderId="45" xfId="0" applyNumberFormat="1" applyFont="1" applyBorder="1" applyAlignment="1">
      <alignment horizontal="center" vertical="center" wrapText="1"/>
    </xf>
    <xf numFmtId="0" fontId="11" fillId="0" borderId="97" xfId="0" applyFont="1" applyBorder="1" applyAlignment="1">
      <alignment horizontal="center" vertical="center" wrapText="1"/>
    </xf>
    <xf numFmtId="3" fontId="15" fillId="24" borderId="0" xfId="0" applyNumberFormat="1" applyFont="1" applyFill="1" applyProtection="1">
      <protection locked="0"/>
    </xf>
    <xf numFmtId="0" fontId="11" fillId="0" borderId="45" xfId="0" applyFont="1" applyBorder="1" applyAlignment="1">
      <alignment horizontal="center" vertical="center" wrapText="1"/>
    </xf>
    <xf numFmtId="0" fontId="15" fillId="0" borderId="45" xfId="0" applyFont="1" applyBorder="1" applyAlignment="1">
      <alignment horizontal="left"/>
    </xf>
    <xf numFmtId="4" fontId="15" fillId="24" borderId="45" xfId="0" applyNumberFormat="1" applyFont="1" applyFill="1" applyBorder="1" applyProtection="1">
      <protection locked="0"/>
    </xf>
    <xf numFmtId="4" fontId="15" fillId="24" borderId="31" xfId="0" applyNumberFormat="1" applyFont="1" applyFill="1" applyBorder="1" applyProtection="1">
      <protection locked="0"/>
    </xf>
    <xf numFmtId="4" fontId="15" fillId="24" borderId="97" xfId="0" applyNumberFormat="1" applyFont="1" applyFill="1" applyBorder="1" applyProtection="1">
      <protection locked="0"/>
    </xf>
    <xf numFmtId="3" fontId="15" fillId="24" borderId="45" xfId="0" applyNumberFormat="1" applyFont="1" applyFill="1" applyBorder="1" applyProtection="1">
      <protection locked="0"/>
    </xf>
    <xf numFmtId="3" fontId="15" fillId="24" borderId="31" xfId="0" applyNumberFormat="1" applyFont="1" applyFill="1" applyBorder="1" applyProtection="1">
      <protection locked="0"/>
    </xf>
    <xf numFmtId="3" fontId="15" fillId="24" borderId="97" xfId="0" applyNumberFormat="1" applyFont="1" applyFill="1" applyBorder="1" applyProtection="1">
      <protection locked="0"/>
    </xf>
    <xf numFmtId="0" fontId="15" fillId="0" borderId="45" xfId="0" applyFont="1" applyBorder="1" applyAlignment="1">
      <alignment horizontal="center"/>
    </xf>
    <xf numFmtId="0" fontId="15" fillId="0" borderId="97" xfId="0" applyFont="1" applyBorder="1" applyAlignment="1">
      <alignment horizontal="center"/>
    </xf>
    <xf numFmtId="0" fontId="15" fillId="0" borderId="135" xfId="0" applyFont="1" applyBorder="1" applyAlignment="1">
      <alignment horizontal="left"/>
    </xf>
    <xf numFmtId="4" fontId="15" fillId="24" borderId="98" xfId="0" applyNumberFormat="1" applyFont="1" applyFill="1" applyBorder="1" applyProtection="1">
      <protection locked="0"/>
    </xf>
    <xf numFmtId="172" fontId="15" fillId="0" borderId="0" xfId="32" applyNumberFormat="1" applyFont="1" applyFill="1" applyBorder="1" applyAlignment="1"/>
    <xf numFmtId="3" fontId="15" fillId="24" borderId="135" xfId="0" applyNumberFormat="1" applyFont="1" applyFill="1" applyBorder="1" applyProtection="1">
      <protection locked="0"/>
    </xf>
    <xf numFmtId="3" fontId="15" fillId="24" borderId="52" xfId="0" applyNumberFormat="1" applyFont="1" applyFill="1" applyBorder="1" applyProtection="1">
      <protection locked="0"/>
    </xf>
    <xf numFmtId="3" fontId="15" fillId="24" borderId="98" xfId="0" applyNumberFormat="1" applyFont="1" applyFill="1" applyBorder="1" applyProtection="1">
      <protection locked="0"/>
    </xf>
    <xf numFmtId="0" fontId="15" fillId="0" borderId="57" xfId="0" applyFont="1" applyBorder="1" applyAlignment="1">
      <alignment horizontal="center"/>
    </xf>
    <xf numFmtId="0" fontId="15" fillId="0" borderId="131" xfId="0" applyFont="1" applyBorder="1" applyAlignment="1">
      <alignment horizontal="center"/>
    </xf>
    <xf numFmtId="0" fontId="5" fillId="0" borderId="68" xfId="0" applyFont="1" applyBorder="1" applyAlignment="1">
      <alignment horizontal="right" vertical="center"/>
    </xf>
    <xf numFmtId="0" fontId="15" fillId="0" borderId="139" xfId="0" applyFont="1" applyBorder="1" applyAlignment="1">
      <alignment horizontal="center"/>
    </xf>
    <xf numFmtId="4" fontId="15" fillId="0" borderId="68" xfId="32" applyNumberFormat="1" applyFont="1" applyFill="1" applyBorder="1" applyAlignment="1"/>
    <xf numFmtId="4" fontId="15" fillId="0" borderId="69" xfId="32" applyNumberFormat="1" applyFont="1" applyFill="1" applyBorder="1" applyAlignment="1"/>
    <xf numFmtId="4" fontId="15" fillId="0" borderId="70" xfId="32" applyNumberFormat="1" applyFont="1" applyFill="1" applyBorder="1" applyAlignment="1"/>
    <xf numFmtId="38" fontId="15" fillId="0" borderId="68" xfId="32" applyNumberFormat="1" applyFont="1" applyFill="1" applyBorder="1" applyAlignment="1"/>
    <xf numFmtId="38" fontId="15" fillId="0" borderId="69" xfId="32" applyNumberFormat="1" applyFont="1" applyFill="1" applyBorder="1" applyAlignment="1"/>
    <xf numFmtId="38" fontId="15" fillId="0" borderId="70" xfId="32" applyNumberFormat="1" applyFont="1" applyFill="1" applyBorder="1" applyAlignment="1"/>
    <xf numFmtId="0" fontId="15" fillId="0" borderId="68" xfId="0" applyFont="1" applyBorder="1" applyAlignment="1">
      <alignment horizontal="center"/>
    </xf>
    <xf numFmtId="0" fontId="15" fillId="0" borderId="70" xfId="0" applyFont="1" applyBorder="1" applyAlignment="1">
      <alignment horizontal="center"/>
    </xf>
    <xf numFmtId="165" fontId="3" fillId="0" borderId="0" xfId="53" applyFont="1" applyAlignment="1">
      <alignment vertical="center"/>
    </xf>
    <xf numFmtId="0" fontId="10" fillId="33" borderId="88" xfId="0" applyFont="1" applyFill="1" applyBorder="1" applyAlignment="1">
      <alignment horizontal="center" vertical="center"/>
    </xf>
    <xf numFmtId="0" fontId="13" fillId="0" borderId="89" xfId="0" applyFont="1" applyBorder="1" applyAlignment="1">
      <alignment horizontal="center" vertical="center"/>
    </xf>
    <xf numFmtId="0" fontId="139" fillId="0" borderId="0" xfId="0" applyFont="1"/>
    <xf numFmtId="169" fontId="139" fillId="0" borderId="0" xfId="0" applyNumberFormat="1" applyFont="1"/>
    <xf numFmtId="0" fontId="10" fillId="0" borderId="140" xfId="0" applyFont="1" applyBorder="1" applyAlignment="1">
      <alignment vertical="center"/>
    </xf>
    <xf numFmtId="0" fontId="6" fillId="33" borderId="43" xfId="56" applyFont="1" applyFill="1" applyBorder="1" applyAlignment="1">
      <alignment horizontal="center"/>
    </xf>
    <xf numFmtId="0" fontId="10" fillId="33" borderId="43" xfId="56" applyFont="1" applyFill="1" applyBorder="1" applyAlignment="1">
      <alignment horizontal="center"/>
    </xf>
    <xf numFmtId="0" fontId="3" fillId="0" borderId="43" xfId="56" applyFont="1" applyBorder="1" applyAlignment="1">
      <alignment horizontal="center"/>
    </xf>
    <xf numFmtId="0" fontId="10" fillId="33" borderId="43" xfId="57" applyFont="1" applyFill="1" applyBorder="1" applyAlignment="1">
      <alignment horizontal="center"/>
    </xf>
    <xf numFmtId="0" fontId="10" fillId="33" borderId="43" xfId="58" applyFont="1" applyFill="1" applyBorder="1" applyAlignment="1">
      <alignment horizontal="center"/>
    </xf>
    <xf numFmtId="0" fontId="10" fillId="33" borderId="43" xfId="59" applyFont="1" applyFill="1" applyBorder="1" applyAlignment="1">
      <alignment horizontal="center"/>
    </xf>
    <xf numFmtId="0" fontId="10" fillId="33" borderId="43" xfId="60" applyFont="1" applyFill="1" applyBorder="1" applyAlignment="1">
      <alignment horizontal="center" vertical="center"/>
    </xf>
    <xf numFmtId="0" fontId="10" fillId="33" borderId="43" xfId="0" applyFont="1" applyFill="1" applyBorder="1" applyAlignment="1">
      <alignment horizontal="center"/>
    </xf>
    <xf numFmtId="0" fontId="6" fillId="0" borderId="141" xfId="0" applyFont="1" applyBorder="1" applyAlignment="1">
      <alignment horizontal="centerContinuous" vertical="center"/>
    </xf>
    <xf numFmtId="0" fontId="6" fillId="0" borderId="109" xfId="0" applyFont="1" applyBorder="1" applyAlignment="1">
      <alignment horizontal="centerContinuous" vertical="center" wrapText="1"/>
    </xf>
    <xf numFmtId="0" fontId="39" fillId="0" borderId="110" xfId="0" applyFont="1" applyBorder="1"/>
    <xf numFmtId="0" fontId="10" fillId="33" borderId="43" xfId="61" applyFont="1" applyFill="1" applyBorder="1" applyAlignment="1">
      <alignment horizontal="center"/>
    </xf>
    <xf numFmtId="0" fontId="10" fillId="33" borderId="88" xfId="0" applyFont="1" applyFill="1" applyBorder="1" applyAlignment="1">
      <alignment horizontal="center"/>
    </xf>
    <xf numFmtId="0" fontId="15" fillId="0" borderId="67" xfId="0" applyFont="1" applyBorder="1" applyAlignment="1" applyProtection="1">
      <alignment wrapText="1"/>
      <protection locked="0"/>
    </xf>
    <xf numFmtId="0" fontId="15" fillId="0" borderId="122" xfId="0" applyFont="1" applyBorder="1" applyAlignment="1" applyProtection="1">
      <alignment wrapText="1"/>
      <protection locked="0"/>
    </xf>
    <xf numFmtId="0" fontId="15" fillId="0" borderId="142" xfId="0" applyFont="1" applyBorder="1" applyAlignment="1" applyProtection="1">
      <alignment wrapText="1"/>
      <protection locked="0"/>
    </xf>
    <xf numFmtId="169" fontId="3" fillId="24" borderId="62" xfId="0" applyNumberFormat="1" applyFont="1" applyFill="1" applyBorder="1" applyProtection="1">
      <protection locked="0"/>
    </xf>
    <xf numFmtId="169" fontId="3" fillId="24" borderId="44" xfId="0" applyNumberFormat="1" applyFont="1" applyFill="1" applyBorder="1" applyProtection="1">
      <protection locked="0"/>
    </xf>
    <xf numFmtId="169" fontId="3" fillId="0" borderId="62" xfId="0" applyNumberFormat="1" applyFont="1" applyBorder="1" applyProtection="1">
      <protection locked="0"/>
    </xf>
    <xf numFmtId="169" fontId="3" fillId="0" borderId="44" xfId="0" applyNumberFormat="1" applyFont="1" applyBorder="1" applyProtection="1">
      <protection locked="0"/>
    </xf>
    <xf numFmtId="169" fontId="3" fillId="24" borderId="73" xfId="0" applyNumberFormat="1" applyFont="1" applyFill="1" applyBorder="1" applyProtection="1">
      <protection locked="0"/>
    </xf>
    <xf numFmtId="169" fontId="3" fillId="0" borderId="73" xfId="0" applyNumberFormat="1" applyFont="1" applyBorder="1" applyProtection="1">
      <protection locked="0"/>
    </xf>
    <xf numFmtId="0" fontId="7" fillId="0" borderId="0" xfId="0" applyFont="1" applyAlignment="1">
      <alignment vertical="top"/>
    </xf>
    <xf numFmtId="169" fontId="3" fillId="0" borderId="75" xfId="61" applyNumberFormat="1" applyFont="1" applyBorder="1" applyProtection="1">
      <protection locked="0"/>
    </xf>
    <xf numFmtId="169" fontId="3" fillId="0" borderId="73" xfId="61" applyNumberFormat="1" applyFont="1" applyBorder="1" applyProtection="1">
      <protection locked="0"/>
    </xf>
    <xf numFmtId="169" fontId="3" fillId="0" borderId="104" xfId="61" applyNumberFormat="1" applyFont="1" applyBorder="1" applyProtection="1">
      <protection locked="0"/>
    </xf>
    <xf numFmtId="169" fontId="3" fillId="0" borderId="126" xfId="61" applyNumberFormat="1" applyFont="1" applyBorder="1" applyProtection="1">
      <protection locked="0"/>
    </xf>
    <xf numFmtId="169" fontId="3" fillId="0" borderId="63" xfId="0" applyNumberFormat="1" applyFont="1" applyBorder="1" applyProtection="1">
      <protection locked="0"/>
    </xf>
    <xf numFmtId="169" fontId="3" fillId="0" borderId="64" xfId="0" applyNumberFormat="1" applyFont="1" applyBorder="1" applyProtection="1">
      <protection locked="0"/>
    </xf>
    <xf numFmtId="169" fontId="3" fillId="0" borderId="65" xfId="0" applyNumberFormat="1" applyFont="1" applyBorder="1" applyProtection="1">
      <protection locked="0"/>
    </xf>
    <xf numFmtId="169" fontId="3" fillId="0" borderId="66" xfId="0" applyNumberFormat="1" applyFont="1" applyBorder="1" applyProtection="1">
      <protection locked="0"/>
    </xf>
    <xf numFmtId="0" fontId="6" fillId="0" borderId="93" xfId="0" applyFont="1" applyBorder="1" applyAlignment="1">
      <alignment horizontal="center" vertical="center"/>
    </xf>
    <xf numFmtId="0" fontId="24" fillId="0" borderId="74" xfId="0" applyFont="1" applyBorder="1" applyAlignment="1">
      <alignment horizontal="center"/>
    </xf>
    <xf numFmtId="0" fontId="24" fillId="0" borderId="0" xfId="0" applyFont="1" applyAlignment="1">
      <alignment horizontal="center"/>
    </xf>
    <xf numFmtId="3" fontId="24" fillId="0" borderId="74" xfId="0" applyNumberFormat="1" applyFont="1" applyBorder="1" applyAlignment="1">
      <alignment horizontal="center"/>
    </xf>
    <xf numFmtId="0" fontId="61" fillId="0" borderId="120" xfId="0" applyFont="1" applyBorder="1" applyAlignment="1">
      <alignment vertical="center"/>
    </xf>
    <xf numFmtId="0" fontId="2" fillId="0" borderId="0" xfId="0" applyFont="1" applyAlignment="1">
      <alignment wrapText="1"/>
    </xf>
    <xf numFmtId="0" fontId="114" fillId="0" borderId="0" xfId="0" applyFont="1"/>
    <xf numFmtId="0" fontId="23" fillId="0" borderId="19" xfId="0" applyFont="1" applyBorder="1" applyAlignment="1">
      <alignment horizontal="left" wrapText="1"/>
    </xf>
    <xf numFmtId="0" fontId="23" fillId="0" borderId="0" xfId="0" applyFont="1" applyAlignment="1">
      <alignment horizontal="left" wrapText="1"/>
    </xf>
    <xf numFmtId="0" fontId="23" fillId="0" borderId="36" xfId="0" applyFont="1" applyBorder="1" applyAlignment="1">
      <alignment horizontal="left" wrapText="1"/>
    </xf>
    <xf numFmtId="0" fontId="3" fillId="0" borderId="107" xfId="0" applyFont="1" applyBorder="1"/>
    <xf numFmtId="0" fontId="2" fillId="0" borderId="107" xfId="0" applyFont="1" applyBorder="1" applyAlignment="1">
      <alignment vertical="top" wrapText="1"/>
    </xf>
    <xf numFmtId="0" fontId="2" fillId="0" borderId="107" xfId="0" applyFont="1" applyBorder="1"/>
    <xf numFmtId="0" fontId="6" fillId="0" borderId="81" xfId="0" applyFont="1" applyBorder="1" applyAlignment="1">
      <alignment horizontal="center" vertical="center" wrapText="1"/>
    </xf>
    <xf numFmtId="0" fontId="6" fillId="0" borderId="131" xfId="0" applyFont="1" applyBorder="1" applyAlignment="1">
      <alignment horizontal="center" vertical="center" wrapText="1"/>
    </xf>
    <xf numFmtId="0" fontId="6" fillId="0" borderId="97" xfId="0" applyFont="1" applyBorder="1" applyAlignment="1">
      <alignment horizontal="center" vertical="center" wrapText="1"/>
    </xf>
    <xf numFmtId="0" fontId="6" fillId="0" borderId="116" xfId="0" applyFont="1" applyBorder="1" applyAlignment="1">
      <alignment horizontal="center" vertical="center" wrapText="1"/>
    </xf>
    <xf numFmtId="38" fontId="3" fillId="0" borderId="31" xfId="32" applyNumberFormat="1" applyFont="1" applyBorder="1" applyAlignment="1"/>
    <xf numFmtId="1" fontId="9" fillId="25" borderId="31" xfId="53" applyNumberFormat="1" applyFont="1" applyFill="1" applyBorder="1" applyAlignment="1" applyProtection="1">
      <alignment horizontal="center" vertical="center"/>
      <protection locked="0"/>
    </xf>
    <xf numFmtId="165" fontId="41" fillId="24" borderId="0" xfId="53" applyFill="1" applyAlignment="1" applyProtection="1">
      <alignment horizontal="center" vertical="center"/>
      <protection locked="0"/>
    </xf>
    <xf numFmtId="0" fontId="140" fillId="0" borderId="0" xfId="36" applyFont="1" applyAlignment="1" applyProtection="1">
      <alignment horizontal="centerContinuous" vertical="center"/>
      <protection hidden="1"/>
    </xf>
    <xf numFmtId="0" fontId="140" fillId="0" borderId="0" xfId="36" applyFont="1" applyAlignment="1" applyProtection="1">
      <alignment horizontal="center" vertical="center"/>
      <protection hidden="1"/>
    </xf>
    <xf numFmtId="0" fontId="140" fillId="0" borderId="0" xfId="41" applyFont="1" applyAlignment="1" applyProtection="1">
      <alignment horizontal="center" vertical="center"/>
      <protection hidden="1"/>
    </xf>
    <xf numFmtId="0" fontId="141" fillId="0" borderId="0" xfId="41" applyFont="1" applyAlignment="1">
      <alignment wrapText="1"/>
    </xf>
    <xf numFmtId="0" fontId="141" fillId="0" borderId="0" xfId="41" applyFont="1"/>
    <xf numFmtId="0" fontId="141" fillId="0" borderId="0" xfId="41" applyFont="1" applyAlignment="1">
      <alignment vertical="center" wrapText="1"/>
    </xf>
    <xf numFmtId="0" fontId="141" fillId="0" borderId="0" xfId="41" applyFont="1" applyAlignment="1">
      <alignment vertical="center"/>
    </xf>
    <xf numFmtId="0" fontId="142" fillId="0" borderId="0" xfId="41" applyFont="1" applyAlignment="1">
      <alignment vertical="center" wrapText="1"/>
    </xf>
    <xf numFmtId="0" fontId="143" fillId="0" borderId="0" xfId="41" applyFont="1" applyAlignment="1">
      <alignment vertical="center"/>
    </xf>
    <xf numFmtId="0" fontId="144" fillId="0" borderId="0" xfId="41" applyFont="1" applyAlignment="1">
      <alignment horizontal="center" vertical="center"/>
    </xf>
    <xf numFmtId="0" fontId="145" fillId="0" borderId="0" xfId="41" applyFont="1" applyAlignment="1">
      <alignment horizontal="center" vertical="center"/>
    </xf>
    <xf numFmtId="0" fontId="143" fillId="0" borderId="31" xfId="41" applyFont="1" applyBorder="1" applyAlignment="1" applyProtection="1">
      <alignment horizontal="center" vertical="center" wrapText="1"/>
      <protection locked="0"/>
    </xf>
    <xf numFmtId="0" fontId="141" fillId="0" borderId="0" xfId="41" applyFont="1" applyAlignment="1" applyProtection="1">
      <alignment horizontal="center" vertical="center"/>
      <protection hidden="1"/>
    </xf>
    <xf numFmtId="0" fontId="143" fillId="0" borderId="0" xfId="41" applyFont="1" applyAlignment="1">
      <alignment horizontal="center" vertical="center"/>
    </xf>
    <xf numFmtId="0" fontId="146" fillId="0" borderId="0" xfId="41" applyFont="1" applyAlignment="1">
      <alignment vertical="center" wrapText="1"/>
    </xf>
    <xf numFmtId="14" fontId="143" fillId="0" borderId="31" xfId="36" applyNumberFormat="1" applyFont="1" applyBorder="1" applyAlignment="1" applyProtection="1">
      <alignment horizontal="center" vertical="center" wrapText="1"/>
      <protection locked="0"/>
    </xf>
    <xf numFmtId="3" fontId="143" fillId="0" borderId="31" xfId="41" applyNumberFormat="1" applyFont="1" applyBorder="1" applyAlignment="1" applyProtection="1">
      <alignment horizontal="center" vertical="center" wrapText="1"/>
      <protection locked="0"/>
    </xf>
    <xf numFmtId="0" fontId="142" fillId="0" borderId="0" xfId="41" applyFont="1" applyAlignment="1">
      <alignment horizontal="center" vertical="center" wrapText="1"/>
    </xf>
    <xf numFmtId="10" fontId="143" fillId="0" borderId="31" xfId="41" applyNumberFormat="1" applyFont="1" applyBorder="1" applyAlignment="1" applyProtection="1">
      <alignment horizontal="center" vertical="center" wrapText="1"/>
      <protection locked="0"/>
    </xf>
    <xf numFmtId="0" fontId="26" fillId="0" borderId="0" xfId="41" applyFont="1" applyAlignment="1">
      <alignment vertical="center" wrapText="1"/>
    </xf>
    <xf numFmtId="0" fontId="147" fillId="0" borderId="0" xfId="41" applyFont="1" applyAlignment="1">
      <alignment horizontal="center" vertical="center"/>
    </xf>
    <xf numFmtId="173" fontId="143" fillId="0" borderId="0" xfId="41" applyNumberFormat="1" applyFont="1" applyAlignment="1">
      <alignment vertical="center"/>
    </xf>
    <xf numFmtId="0" fontId="148" fillId="0" borderId="0" xfId="41" applyFont="1" applyAlignment="1">
      <alignment vertical="center" wrapText="1"/>
    </xf>
    <xf numFmtId="0" fontId="149" fillId="0" borderId="0" xfId="41" applyFont="1" applyAlignment="1">
      <alignment vertical="center"/>
    </xf>
    <xf numFmtId="0" fontId="143" fillId="0" borderId="0" xfId="41" applyFont="1" applyAlignment="1">
      <alignment vertical="center" wrapText="1"/>
    </xf>
    <xf numFmtId="0" fontId="141" fillId="0" borderId="0" xfId="36" applyFont="1" applyAlignment="1">
      <alignment horizontal="center" vertical="center"/>
    </xf>
    <xf numFmtId="0" fontId="149" fillId="0" borderId="0" xfId="41" applyFont="1"/>
    <xf numFmtId="0" fontId="143" fillId="0" borderId="0" xfId="41" applyFont="1"/>
    <xf numFmtId="165" fontId="150" fillId="0" borderId="0" xfId="53" applyFont="1" applyAlignment="1">
      <alignment vertical="center"/>
    </xf>
    <xf numFmtId="165" fontId="151" fillId="0" borderId="0" xfId="53" applyFont="1" applyAlignment="1">
      <alignment vertical="center"/>
    </xf>
    <xf numFmtId="0" fontId="3" fillId="0" borderId="0" xfId="36" applyFont="1"/>
    <xf numFmtId="0" fontId="3" fillId="0" borderId="0" xfId="36" applyFont="1" applyAlignment="1">
      <alignment horizontal="center" vertical="center"/>
    </xf>
    <xf numFmtId="0" fontId="30" fillId="0" borderId="0" xfId="36"/>
    <xf numFmtId="0" fontId="20" fillId="0" borderId="0" xfId="36" applyFont="1"/>
    <xf numFmtId="2" fontId="3" fillId="0" borderId="31" xfId="32" applyNumberFormat="1" applyFont="1" applyBorder="1" applyAlignment="1"/>
    <xf numFmtId="0" fontId="3" fillId="0" borderId="37" xfId="0" applyFont="1" applyBorder="1" applyAlignment="1">
      <alignment horizontal="centerContinuous" vertical="center" wrapText="1"/>
    </xf>
    <xf numFmtId="0" fontId="3" fillId="0" borderId="38" xfId="0" applyFont="1" applyBorder="1" applyAlignment="1">
      <alignment horizontal="center" vertical="center" wrapText="1"/>
    </xf>
    <xf numFmtId="0" fontId="6" fillId="32" borderId="54" xfId="0" applyFont="1" applyFill="1" applyBorder="1" applyAlignment="1">
      <alignment horizontal="center" vertical="center" wrapText="1"/>
    </xf>
    <xf numFmtId="0" fontId="6" fillId="32" borderId="20" xfId="0" applyFont="1" applyFill="1" applyBorder="1" applyAlignment="1">
      <alignment horizontal="center" vertical="center" wrapText="1"/>
    </xf>
    <xf numFmtId="0" fontId="145" fillId="0" borderId="0" xfId="41" applyFont="1" applyAlignment="1">
      <alignment horizontal="center" vertical="center" wrapText="1"/>
    </xf>
    <xf numFmtId="0" fontId="146" fillId="0" borderId="0" xfId="49" applyFont="1" applyAlignment="1">
      <alignment vertical="center" wrapText="1"/>
    </xf>
    <xf numFmtId="0" fontId="3" fillId="0" borderId="0" xfId="41" applyFont="1" applyAlignment="1">
      <alignment horizontal="center" vertical="center"/>
    </xf>
    <xf numFmtId="0" fontId="26" fillId="0" borderId="0" xfId="41" applyFont="1" applyAlignment="1">
      <alignment vertical="center"/>
    </xf>
    <xf numFmtId="0" fontId="4" fillId="0" borderId="0" xfId="41" applyFont="1" applyAlignment="1">
      <alignment horizontal="center" vertical="center"/>
    </xf>
    <xf numFmtId="165" fontId="15" fillId="24" borderId="0" xfId="53" applyFont="1" applyFill="1" applyAlignment="1">
      <alignment vertical="top"/>
    </xf>
    <xf numFmtId="1" fontId="9" fillId="25" borderId="31" xfId="53" applyNumberFormat="1" applyFont="1" applyFill="1" applyBorder="1" applyAlignment="1" applyProtection="1">
      <alignment horizontal="center" vertical="center" wrapText="1"/>
      <protection locked="0"/>
    </xf>
    <xf numFmtId="165" fontId="152" fillId="24" borderId="0" xfId="53" applyFont="1" applyFill="1" applyAlignment="1">
      <alignment horizontal="center"/>
    </xf>
    <xf numFmtId="165" fontId="9" fillId="24" borderId="120" xfId="53" applyFont="1" applyFill="1" applyBorder="1" applyAlignment="1">
      <alignment horizontal="left" vertical="center"/>
    </xf>
    <xf numFmtId="165" fontId="153" fillId="24" borderId="0" xfId="53" applyFont="1" applyFill="1" applyAlignment="1">
      <alignment horizontal="left" vertical="center"/>
    </xf>
    <xf numFmtId="165" fontId="15" fillId="30" borderId="0" xfId="53" applyFont="1" applyFill="1" applyAlignment="1">
      <alignment vertical="center"/>
    </xf>
    <xf numFmtId="165" fontId="9" fillId="30" borderId="120" xfId="53" applyFont="1" applyFill="1" applyBorder="1" applyAlignment="1">
      <alignment vertical="center"/>
    </xf>
    <xf numFmtId="0" fontId="122" fillId="0" borderId="60" xfId="0" applyFont="1" applyBorder="1" applyAlignment="1">
      <alignment vertical="center"/>
    </xf>
    <xf numFmtId="0" fontId="122" fillId="30" borderId="60" xfId="0" applyFont="1" applyFill="1" applyBorder="1" applyAlignment="1">
      <alignment vertical="center"/>
    </xf>
    <xf numFmtId="0" fontId="122" fillId="30" borderId="56" xfId="0" applyFont="1" applyFill="1" applyBorder="1" applyAlignment="1">
      <alignment vertical="center"/>
    </xf>
    <xf numFmtId="165" fontId="61" fillId="30" borderId="20" xfId="53" applyFont="1" applyFill="1" applyBorder="1" applyAlignment="1">
      <alignment vertical="center"/>
    </xf>
    <xf numFmtId="0" fontId="122" fillId="30" borderId="60" xfId="0" applyFont="1" applyFill="1" applyBorder="1" applyAlignment="1">
      <alignment vertical="center" wrapText="1"/>
    </xf>
    <xf numFmtId="0" fontId="122" fillId="30" borderId="56" xfId="0" applyFont="1" applyFill="1" applyBorder="1" applyAlignment="1">
      <alignment vertical="center" wrapText="1"/>
    </xf>
    <xf numFmtId="165" fontId="9" fillId="30" borderId="0" xfId="53" applyFont="1" applyFill="1" applyAlignment="1">
      <alignment vertical="center"/>
    </xf>
    <xf numFmtId="165" fontId="9" fillId="30" borderId="120" xfId="53" applyFont="1" applyFill="1" applyBorder="1" applyAlignment="1">
      <alignment horizontal="left" vertical="center"/>
    </xf>
    <xf numFmtId="165" fontId="153" fillId="24" borderId="120" xfId="53" applyFont="1" applyFill="1" applyBorder="1" applyAlignment="1">
      <alignment horizontal="left" vertical="center"/>
    </xf>
    <xf numFmtId="4" fontId="0" fillId="0" borderId="0" xfId="0" applyNumberFormat="1"/>
    <xf numFmtId="165" fontId="41" fillId="30" borderId="0" xfId="53" applyFill="1" applyAlignment="1" applyProtection="1">
      <alignment vertical="center"/>
      <protection locked="0"/>
    </xf>
    <xf numFmtId="2" fontId="9" fillId="30" borderId="31" xfId="53" applyNumberFormat="1" applyFont="1" applyFill="1" applyBorder="1" applyAlignment="1" applyProtection="1">
      <alignment vertical="center"/>
      <protection locked="0"/>
    </xf>
    <xf numFmtId="1" fontId="9" fillId="30" borderId="31" xfId="53" applyNumberFormat="1" applyFont="1" applyFill="1" applyBorder="1" applyAlignment="1" applyProtection="1">
      <alignment horizontal="center" vertical="center"/>
      <protection locked="0"/>
    </xf>
    <xf numFmtId="0" fontId="30" fillId="30" borderId="0" xfId="0" applyFont="1" applyFill="1"/>
    <xf numFmtId="0" fontId="0" fillId="30" borderId="0" xfId="0" applyFill="1"/>
    <xf numFmtId="0" fontId="140" fillId="0" borderId="0" xfId="41" applyFont="1" applyAlignment="1" applyProtection="1">
      <alignment horizontal="centerContinuous" vertical="center"/>
      <protection hidden="1"/>
    </xf>
    <xf numFmtId="0" fontId="15" fillId="0" borderId="0" xfId="41" applyFont="1" applyAlignment="1">
      <alignment vertical="center" wrapText="1"/>
    </xf>
    <xf numFmtId="0" fontId="26" fillId="0" borderId="0" xfId="41" applyFont="1" applyAlignment="1" applyProtection="1">
      <alignment horizontal="center" vertical="center"/>
      <protection hidden="1"/>
    </xf>
    <xf numFmtId="0" fontId="6" fillId="0" borderId="143" xfId="0" applyFont="1" applyBorder="1" applyAlignment="1">
      <alignment horizontal="centerContinuous" vertical="center"/>
    </xf>
    <xf numFmtId="0" fontId="6" fillId="0" borderId="144" xfId="0" applyFont="1" applyBorder="1" applyAlignment="1">
      <alignment horizontal="centerContinuous" vertical="center" wrapText="1"/>
    </xf>
    <xf numFmtId="0" fontId="6" fillId="0" borderId="111" xfId="0" applyFont="1" applyBorder="1" applyAlignment="1">
      <alignment horizontal="center" vertical="center" wrapText="1"/>
    </xf>
    <xf numFmtId="0" fontId="6" fillId="0" borderId="0" xfId="0" applyFont="1" applyAlignment="1">
      <alignment vertical="center"/>
    </xf>
    <xf numFmtId="0" fontId="6" fillId="0" borderId="145" xfId="0" applyFont="1" applyBorder="1" applyAlignment="1">
      <alignment horizontal="centerContinuous" vertical="center" wrapText="1"/>
    </xf>
    <xf numFmtId="0" fontId="6" fillId="0" borderId="91" xfId="0" applyFont="1" applyBorder="1" applyAlignment="1">
      <alignment horizontal="centerContinuous" vertical="center" wrapText="1"/>
    </xf>
    <xf numFmtId="0" fontId="155" fillId="0" borderId="111" xfId="0" applyFont="1" applyBorder="1" applyAlignment="1">
      <alignment horizontal="center" vertical="center" wrapText="1"/>
    </xf>
    <xf numFmtId="0" fontId="2" fillId="0" borderId="143" xfId="0" applyFont="1" applyBorder="1" applyAlignment="1">
      <alignment horizontal="centerContinuous" vertical="center"/>
    </xf>
    <xf numFmtId="0" fontId="2" fillId="0" borderId="91" xfId="0" applyFont="1" applyBorder="1" applyAlignment="1">
      <alignment horizontal="centerContinuous" vertical="center" wrapText="1"/>
    </xf>
    <xf numFmtId="0" fontId="6" fillId="0" borderId="134" xfId="0" applyFont="1" applyBorder="1" applyAlignment="1">
      <alignment horizontal="center" vertical="center" wrapText="1"/>
    </xf>
    <xf numFmtId="165" fontId="41" fillId="0" borderId="0" xfId="53" applyAlignment="1">
      <alignment horizontal="center" vertical="center"/>
    </xf>
    <xf numFmtId="0" fontId="0" fillId="0" borderId="0" xfId="0" applyAlignment="1">
      <alignment vertical="center" wrapText="1"/>
    </xf>
    <xf numFmtId="1" fontId="9" fillId="34" borderId="31" xfId="53" applyNumberFormat="1" applyFont="1" applyFill="1" applyBorder="1" applyAlignment="1">
      <alignment vertical="center"/>
    </xf>
    <xf numFmtId="165" fontId="61" fillId="34" borderId="31" xfId="53" applyFont="1" applyFill="1" applyBorder="1" applyAlignment="1">
      <alignment vertical="center"/>
    </xf>
    <xf numFmtId="165" fontId="74" fillId="24" borderId="0" xfId="53" applyFont="1" applyFill="1" applyAlignment="1">
      <alignment vertical="center"/>
    </xf>
    <xf numFmtId="0" fontId="61" fillId="30" borderId="120" xfId="0" applyFont="1" applyFill="1" applyBorder="1" applyAlignment="1">
      <alignment horizontal="left" vertical="center"/>
    </xf>
    <xf numFmtId="1" fontId="23" fillId="25" borderId="31" xfId="53" applyNumberFormat="1" applyFont="1" applyFill="1" applyBorder="1" applyAlignment="1" applyProtection="1">
      <alignment horizontal="center" vertical="center"/>
      <protection locked="0"/>
    </xf>
    <xf numFmtId="0" fontId="61" fillId="30" borderId="120" xfId="0" applyFont="1" applyFill="1" applyBorder="1" applyAlignment="1">
      <alignment horizontal="center" vertical="center" wrapText="1"/>
    </xf>
    <xf numFmtId="165" fontId="61" fillId="24" borderId="120" xfId="53" applyFont="1" applyFill="1" applyBorder="1" applyAlignment="1">
      <alignment horizontal="center" vertical="center" wrapText="1"/>
    </xf>
    <xf numFmtId="165" fontId="9" fillId="24" borderId="0" xfId="53" applyFont="1" applyFill="1" applyAlignment="1">
      <alignment vertical="center" wrapText="1"/>
    </xf>
    <xf numFmtId="0" fontId="0" fillId="30" borderId="120" xfId="0" applyFill="1" applyBorder="1"/>
    <xf numFmtId="1" fontId="45" fillId="25" borderId="31" xfId="53" applyNumberFormat="1" applyFont="1" applyFill="1" applyBorder="1" applyAlignment="1" applyProtection="1">
      <alignment horizontal="center" vertical="center"/>
      <protection locked="0"/>
    </xf>
    <xf numFmtId="165" fontId="3" fillId="24" borderId="0" xfId="53" applyFont="1" applyFill="1" applyAlignment="1">
      <alignment vertical="center" wrapText="1"/>
    </xf>
    <xf numFmtId="0" fontId="156" fillId="35" borderId="0" xfId="0" applyFont="1" applyFill="1" applyAlignment="1">
      <alignment horizontal="center" vertical="center" wrapText="1"/>
    </xf>
    <xf numFmtId="0" fontId="138" fillId="35" borderId="0" xfId="0" applyFont="1" applyFill="1" applyAlignment="1">
      <alignment horizontal="center"/>
    </xf>
    <xf numFmtId="0" fontId="148" fillId="0" borderId="0" xfId="41" applyFont="1" applyAlignment="1">
      <alignment vertical="center"/>
    </xf>
    <xf numFmtId="0" fontId="6" fillId="0" borderId="111" xfId="0" applyFont="1" applyBorder="1" applyAlignment="1">
      <alignment horizontal="centerContinuous" vertical="center"/>
    </xf>
    <xf numFmtId="0" fontId="6" fillId="0" borderId="111" xfId="0" applyFont="1" applyBorder="1" applyAlignment="1">
      <alignment horizontal="centerContinuous" vertical="center" wrapText="1"/>
    </xf>
    <xf numFmtId="0" fontId="2" fillId="0" borderId="111" xfId="0" applyFont="1" applyBorder="1" applyAlignment="1">
      <alignment horizontal="centerContinuous" vertical="center"/>
    </xf>
    <xf numFmtId="0" fontId="3" fillId="0" borderId="0" xfId="0" applyFont="1" applyAlignment="1">
      <alignment horizontal="center" vertical="center"/>
    </xf>
    <xf numFmtId="0" fontId="11" fillId="0" borderId="0" xfId="0" applyFont="1" applyAlignment="1">
      <alignment vertical="center"/>
    </xf>
    <xf numFmtId="0" fontId="11" fillId="0" borderId="0" xfId="0" applyFont="1" applyAlignment="1">
      <alignment horizontal="center" vertical="center"/>
    </xf>
    <xf numFmtId="0" fontId="157" fillId="0" borderId="0" xfId="41" applyFont="1" applyAlignment="1">
      <alignment vertical="center"/>
    </xf>
    <xf numFmtId="3" fontId="158" fillId="0" borderId="31" xfId="41" applyNumberFormat="1" applyFont="1" applyBorder="1" applyAlignment="1" applyProtection="1">
      <alignment horizontal="center" vertical="center" wrapText="1"/>
      <protection locked="0"/>
    </xf>
    <xf numFmtId="165" fontId="159" fillId="0" borderId="0" xfId="53" applyFont="1" applyAlignment="1">
      <alignment vertical="center"/>
    </xf>
    <xf numFmtId="165" fontId="160" fillId="0" borderId="0" xfId="53" applyFont="1" applyAlignment="1">
      <alignment vertical="center"/>
    </xf>
    <xf numFmtId="0" fontId="2" fillId="0" borderId="0" xfId="41" applyFont="1" applyAlignment="1">
      <alignment vertical="center"/>
    </xf>
    <xf numFmtId="0" fontId="161" fillId="0" borderId="0" xfId="0" applyFont="1"/>
    <xf numFmtId="0" fontId="6" fillId="0" borderId="26" xfId="60" applyFont="1" applyBorder="1" applyAlignment="1">
      <alignment horizontal="center" vertical="center"/>
    </xf>
    <xf numFmtId="169" fontId="3" fillId="24" borderId="64" xfId="60" applyNumberFormat="1" applyFont="1" applyFill="1" applyBorder="1"/>
    <xf numFmtId="169" fontId="3" fillId="24" borderId="44" xfId="60" applyNumberFormat="1" applyFont="1" applyFill="1" applyBorder="1"/>
    <xf numFmtId="0" fontId="16" fillId="0" borderId="146" xfId="60" applyFont="1" applyBorder="1" applyAlignment="1">
      <alignment horizontal="centerContinuous" vertical="center" wrapText="1"/>
    </xf>
    <xf numFmtId="0" fontId="3" fillId="0" borderId="72" xfId="60" applyFont="1" applyBorder="1" applyAlignment="1">
      <alignment horizontal="centerContinuous" vertical="center" wrapText="1"/>
    </xf>
    <xf numFmtId="0" fontId="18" fillId="0" borderId="15" xfId="60" applyFont="1" applyBorder="1" applyAlignment="1">
      <alignment horizontal="centerContinuous" vertical="center" wrapText="1"/>
    </xf>
    <xf numFmtId="0" fontId="18" fillId="0" borderId="107" xfId="60" applyFont="1" applyBorder="1" applyAlignment="1">
      <alignment horizontal="centerContinuous" vertical="center" wrapText="1"/>
    </xf>
    <xf numFmtId="0" fontId="18" fillId="0" borderId="147" xfId="60" applyFont="1" applyBorder="1" applyAlignment="1">
      <alignment horizontal="centerContinuous" vertical="center" wrapText="1"/>
    </xf>
    <xf numFmtId="0" fontId="18" fillId="0" borderId="148" xfId="60" applyFont="1" applyBorder="1" applyAlignment="1">
      <alignment horizontal="center" vertical="center" wrapText="1"/>
    </xf>
    <xf numFmtId="0" fontId="18" fillId="0" borderId="148" xfId="60" applyFont="1" applyBorder="1" applyAlignment="1">
      <alignment horizontal="centerContinuous" vertical="center" wrapText="1"/>
    </xf>
    <xf numFmtId="0" fontId="18" fillId="0" borderId="149" xfId="60" applyFont="1" applyBorder="1" applyAlignment="1">
      <alignment horizontal="centerContinuous" vertical="center" wrapText="1"/>
    </xf>
    <xf numFmtId="0" fontId="6" fillId="32" borderId="31" xfId="0" applyFont="1" applyFill="1" applyBorder="1" applyAlignment="1">
      <alignment horizontal="center" vertical="center" wrapText="1"/>
    </xf>
    <xf numFmtId="3" fontId="15" fillId="0" borderId="97" xfId="0" applyNumberFormat="1" applyFont="1" applyBorder="1" applyProtection="1">
      <protection locked="0"/>
    </xf>
    <xf numFmtId="0" fontId="26" fillId="0" borderId="0" xfId="0" applyFont="1"/>
    <xf numFmtId="0" fontId="124" fillId="0" borderId="0" xfId="0" applyFont="1"/>
    <xf numFmtId="0" fontId="125" fillId="0" borderId="0" xfId="0" applyFont="1"/>
    <xf numFmtId="0" fontId="162" fillId="0" borderId="0" xfId="0" applyFont="1"/>
    <xf numFmtId="3" fontId="15" fillId="0" borderId="45" xfId="0" applyNumberFormat="1" applyFont="1" applyBorder="1" applyProtection="1">
      <protection locked="0"/>
    </xf>
    <xf numFmtId="165" fontId="163" fillId="0" borderId="0" xfId="53" applyFont="1" applyAlignment="1">
      <alignment horizontal="left" vertical="center" wrapText="1"/>
    </xf>
    <xf numFmtId="0" fontId="118" fillId="0" borderId="0" xfId="0" applyFont="1" applyAlignment="1">
      <alignment vertical="top"/>
    </xf>
    <xf numFmtId="168" fontId="3" fillId="0" borderId="0" xfId="0" applyNumberFormat="1" applyFont="1"/>
    <xf numFmtId="0" fontId="157" fillId="35" borderId="0" xfId="36" applyFont="1" applyFill="1" applyAlignment="1">
      <alignment horizontal="center" vertical="center"/>
    </xf>
    <xf numFmtId="0" fontId="3" fillId="0" borderId="0" xfId="36" applyFont="1" applyAlignment="1">
      <alignment horizontal="center"/>
    </xf>
    <xf numFmtId="0" fontId="3" fillId="0" borderId="0" xfId="36" applyFont="1" applyAlignment="1">
      <alignment vertical="center"/>
    </xf>
    <xf numFmtId="0" fontId="126" fillId="0" borderId="0" xfId="36" applyFont="1" applyAlignment="1">
      <alignment horizontal="centerContinuous" vertical="center"/>
    </xf>
    <xf numFmtId="0" fontId="0" fillId="0" borderId="0" xfId="0" applyAlignment="1">
      <alignment horizontal="centerContinuous" vertical="center"/>
    </xf>
    <xf numFmtId="0" fontId="26" fillId="0" borderId="0" xfId="36" applyFont="1" applyAlignment="1">
      <alignment horizontal="center" vertical="center"/>
    </xf>
    <xf numFmtId="0" fontId="5" fillId="0" borderId="112" xfId="36" applyFont="1" applyBorder="1" applyAlignment="1">
      <alignment horizontal="centerContinuous" vertical="center" wrapText="1"/>
    </xf>
    <xf numFmtId="0" fontId="3" fillId="0" borderId="12" xfId="36" applyFont="1" applyBorder="1" applyAlignment="1">
      <alignment horizontal="centerContinuous"/>
    </xf>
    <xf numFmtId="0" fontId="3" fillId="0" borderId="25" xfId="36" applyFont="1" applyBorder="1" applyAlignment="1">
      <alignment horizontal="centerContinuous" vertical="center"/>
    </xf>
    <xf numFmtId="0" fontId="3" fillId="27" borderId="134" xfId="36" applyFont="1" applyFill="1" applyBorder="1"/>
    <xf numFmtId="0" fontId="3" fillId="0" borderId="12" xfId="36" applyFont="1" applyBorder="1" applyAlignment="1">
      <alignment horizontal="centerContinuous" vertical="center"/>
    </xf>
    <xf numFmtId="0" fontId="37" fillId="0" borderId="111" xfId="36" applyFont="1" applyBorder="1" applyAlignment="1">
      <alignment horizontal="center" vertical="center" wrapText="1"/>
    </xf>
    <xf numFmtId="0" fontId="26" fillId="0" borderId="0" xfId="36" applyFont="1" applyAlignment="1">
      <alignment horizontal="center" vertical="center" wrapText="1"/>
    </xf>
    <xf numFmtId="0" fontId="3" fillId="0" borderId="45" xfId="0" applyFont="1" applyBorder="1" applyAlignment="1">
      <alignment horizontal="center"/>
    </xf>
    <xf numFmtId="0" fontId="25" fillId="27" borderId="150" xfId="0" applyFont="1" applyFill="1" applyBorder="1" applyAlignment="1">
      <alignment horizontal="center" vertical="center"/>
    </xf>
    <xf numFmtId="0" fontId="26" fillId="0" borderId="134" xfId="36" applyFont="1" applyBorder="1" applyAlignment="1">
      <alignment horizontal="center" vertical="center" wrapText="1"/>
    </xf>
    <xf numFmtId="0" fontId="114" fillId="0" borderId="0" xfId="0" applyFont="1" applyAlignment="1">
      <alignment vertical="center"/>
    </xf>
    <xf numFmtId="0" fontId="68" fillId="0" borderId="0" xfId="0" applyFont="1" applyAlignment="1">
      <alignment vertical="center" wrapText="1"/>
    </xf>
    <xf numFmtId="0" fontId="2" fillId="0" borderId="151" xfId="0" applyFont="1" applyBorder="1"/>
    <xf numFmtId="0" fontId="26" fillId="0" borderId="125" xfId="0" applyFont="1" applyBorder="1"/>
    <xf numFmtId="0" fontId="26" fillId="0" borderId="152" xfId="0" applyFont="1" applyBorder="1"/>
    <xf numFmtId="0" fontId="26" fillId="27" borderId="150" xfId="0" applyFont="1" applyFill="1" applyBorder="1" applyAlignment="1">
      <alignment horizontal="center" vertical="center"/>
    </xf>
    <xf numFmtId="0" fontId="2" fillId="0" borderId="125" xfId="0" applyFont="1" applyBorder="1"/>
    <xf numFmtId="0" fontId="2" fillId="0" borderId="152" xfId="0" applyFont="1" applyBorder="1"/>
    <xf numFmtId="0" fontId="26" fillId="0" borderId="0" xfId="36" applyFont="1" applyAlignment="1">
      <alignment horizontal="centerContinuous" vertical="center"/>
    </xf>
    <xf numFmtId="0" fontId="3" fillId="0" borderId="0" xfId="36" applyFont="1" applyAlignment="1">
      <alignment horizontal="centerContinuous" vertical="center"/>
    </xf>
    <xf numFmtId="0" fontId="102" fillId="0" borderId="34" xfId="36" applyFont="1" applyBorder="1" applyAlignment="1">
      <alignment horizontal="left" vertical="top"/>
    </xf>
    <xf numFmtId="0" fontId="15" fillId="0" borderId="74" xfId="0" applyFont="1" applyBorder="1"/>
    <xf numFmtId="0" fontId="15" fillId="0" borderId="67" xfId="0" applyFont="1" applyBorder="1"/>
    <xf numFmtId="0" fontId="15" fillId="27" borderId="150" xfId="0" applyFont="1" applyFill="1" applyBorder="1" applyAlignment="1">
      <alignment horizontal="center" vertical="center"/>
    </xf>
    <xf numFmtId="0" fontId="5" fillId="0" borderId="74" xfId="0" applyFont="1" applyBorder="1"/>
    <xf numFmtId="0" fontId="5" fillId="0" borderId="67" xfId="0" applyFont="1" applyBorder="1"/>
    <xf numFmtId="0" fontId="3" fillId="0" borderId="45" xfId="36" applyFont="1" applyBorder="1" applyAlignment="1">
      <alignment horizontal="left"/>
    </xf>
    <xf numFmtId="3" fontId="3" fillId="0" borderId="97" xfId="0" applyNumberFormat="1" applyFont="1" applyBorder="1" applyProtection="1">
      <protection locked="0"/>
    </xf>
    <xf numFmtId="0" fontId="3" fillId="27" borderId="150" xfId="0" applyFont="1" applyFill="1" applyBorder="1"/>
    <xf numFmtId="3" fontId="3" fillId="0" borderId="98" xfId="0" applyNumberFormat="1" applyFont="1" applyBorder="1" applyProtection="1">
      <protection locked="0"/>
    </xf>
    <xf numFmtId="0" fontId="33" fillId="0" borderId="153" xfId="36" applyFont="1" applyBorder="1" applyAlignment="1">
      <alignment horizontal="left" vertical="center"/>
    </xf>
    <xf numFmtId="0" fontId="28" fillId="0" borderId="154" xfId="0" applyFont="1" applyBorder="1"/>
    <xf numFmtId="169" fontId="33" fillId="0" borderId="131" xfId="0" applyNumberFormat="1" applyFont="1" applyBorder="1" applyAlignment="1">
      <alignment vertical="center"/>
    </xf>
    <xf numFmtId="0" fontId="26" fillId="0" borderId="150" xfId="36" applyFont="1" applyBorder="1" applyAlignment="1">
      <alignment horizontal="center" vertical="center" wrapText="1"/>
    </xf>
    <xf numFmtId="0" fontId="5" fillId="0" borderId="143" xfId="0" applyFont="1" applyBorder="1" applyAlignment="1">
      <alignment horizontal="right"/>
    </xf>
    <xf numFmtId="0" fontId="5" fillId="0" borderId="145" xfId="0" applyFont="1" applyBorder="1"/>
    <xf numFmtId="169" fontId="6" fillId="0" borderId="91" xfId="0" applyNumberFormat="1" applyFont="1" applyBorder="1" applyAlignment="1">
      <alignment vertical="center"/>
    </xf>
    <xf numFmtId="0" fontId="164" fillId="0" borderId="150" xfId="36" applyFont="1" applyBorder="1" applyAlignment="1">
      <alignment horizontal="center" vertical="center" wrapText="1"/>
    </xf>
    <xf numFmtId="0" fontId="114" fillId="0" borderId="0" xfId="0" applyFont="1" applyAlignment="1">
      <alignment vertical="top"/>
    </xf>
    <xf numFmtId="0" fontId="3" fillId="27" borderId="19" xfId="0" applyFont="1" applyFill="1" applyBorder="1"/>
    <xf numFmtId="0" fontId="3" fillId="27" borderId="0" xfId="0" applyFont="1" applyFill="1"/>
    <xf numFmtId="3" fontId="3" fillId="27" borderId="36" xfId="0" applyNumberFormat="1" applyFont="1" applyFill="1" applyBorder="1"/>
    <xf numFmtId="0" fontId="3" fillId="35" borderId="0" xfId="0" applyFont="1" applyFill="1" applyAlignment="1">
      <alignment horizontal="center"/>
    </xf>
    <xf numFmtId="3" fontId="3" fillId="35" borderId="0" xfId="0" applyNumberFormat="1" applyFont="1" applyFill="1" applyAlignment="1">
      <alignment horizontal="center"/>
    </xf>
    <xf numFmtId="0" fontId="68" fillId="0" borderId="0" xfId="0" applyFont="1" applyAlignment="1">
      <alignment horizontal="center" vertical="center" wrapText="1"/>
    </xf>
    <xf numFmtId="0" fontId="33" fillId="0" borderId="153" xfId="36" applyFont="1" applyBorder="1" applyAlignment="1">
      <alignment horizontal="right"/>
    </xf>
    <xf numFmtId="0" fontId="28" fillId="0" borderId="154" xfId="36" applyFont="1" applyBorder="1"/>
    <xf numFmtId="169" fontId="33" fillId="0" borderId="131" xfId="36" applyNumberFormat="1" applyFont="1" applyBorder="1" applyAlignment="1">
      <alignment vertical="center"/>
    </xf>
    <xf numFmtId="0" fontId="2" fillId="0" borderId="155" xfId="36" applyFont="1" applyBorder="1" applyAlignment="1">
      <alignment vertical="center" wrapText="1"/>
    </xf>
    <xf numFmtId="0" fontId="102" fillId="0" borderId="41" xfId="36" applyFont="1" applyBorder="1" applyAlignment="1">
      <alignment horizontal="left"/>
    </xf>
    <xf numFmtId="0" fontId="102" fillId="0" borderId="12" xfId="36" applyFont="1" applyBorder="1" applyAlignment="1">
      <alignment horizontal="left"/>
    </xf>
    <xf numFmtId="0" fontId="102" fillId="0" borderId="25" xfId="36" applyFont="1" applyBorder="1" applyAlignment="1">
      <alignment horizontal="left"/>
    </xf>
    <xf numFmtId="0" fontId="3" fillId="0" borderId="60" xfId="36" applyFont="1" applyBorder="1" applyAlignment="1">
      <alignment horizontal="center"/>
    </xf>
    <xf numFmtId="3" fontId="3" fillId="0" borderId="97" xfId="36" applyNumberFormat="1" applyFont="1" applyBorder="1" applyProtection="1">
      <protection locked="0"/>
    </xf>
    <xf numFmtId="0" fontId="2" fillId="0" borderId="150" xfId="36" applyFont="1" applyBorder="1" applyAlignment="1">
      <alignment horizontal="center" vertical="center"/>
    </xf>
    <xf numFmtId="0" fontId="4" fillId="0" borderId="154" xfId="36" applyFont="1" applyBorder="1"/>
    <xf numFmtId="0" fontId="3" fillId="0" borderId="19" xfId="36" applyFont="1" applyBorder="1"/>
    <xf numFmtId="0" fontId="114" fillId="0" borderId="19" xfId="0" applyFont="1" applyBorder="1" applyAlignment="1">
      <alignment vertical="center"/>
    </xf>
    <xf numFmtId="0" fontId="5" fillId="0" borderId="15" xfId="0" applyFont="1" applyBorder="1" applyAlignment="1">
      <alignment horizontal="right"/>
    </xf>
    <xf numFmtId="0" fontId="5" fillId="0" borderId="121" xfId="0" applyFont="1" applyBorder="1"/>
    <xf numFmtId="169" fontId="5" fillId="0" borderId="156" xfId="0" applyNumberFormat="1" applyFont="1" applyBorder="1" applyAlignment="1">
      <alignment vertical="center"/>
    </xf>
    <xf numFmtId="0" fontId="3" fillId="27" borderId="0" xfId="0" applyFont="1" applyFill="1" applyAlignment="1">
      <alignment horizontal="left"/>
    </xf>
    <xf numFmtId="0" fontId="11" fillId="27" borderId="0" xfId="0" applyFont="1" applyFill="1" applyAlignment="1">
      <alignment horizontal="center"/>
    </xf>
    <xf numFmtId="3" fontId="3" fillId="27" borderId="149" xfId="0" applyNumberFormat="1" applyFont="1" applyFill="1" applyBorder="1"/>
    <xf numFmtId="0" fontId="5" fillId="0" borderId="15" xfId="36" applyFont="1" applyBorder="1" applyAlignment="1">
      <alignment horizontal="center" vertical="center"/>
    </xf>
    <xf numFmtId="0" fontId="5" fillId="0" borderId="143" xfId="36" applyFont="1" applyBorder="1" applyAlignment="1">
      <alignment horizontal="center" vertical="center"/>
    </xf>
    <xf numFmtId="169" fontId="5" fillId="0" borderId="70" xfId="0" applyNumberFormat="1" applyFont="1" applyBorder="1" applyAlignment="1">
      <alignment vertical="center"/>
    </xf>
    <xf numFmtId="0" fontId="37" fillId="0" borderId="0" xfId="0" applyFont="1" applyAlignment="1">
      <alignment vertical="center"/>
    </xf>
    <xf numFmtId="0" fontId="114" fillId="0" borderId="0" xfId="0" applyFont="1" applyAlignment="1">
      <alignment horizontal="center"/>
    </xf>
    <xf numFmtId="0" fontId="118" fillId="0" borderId="0" xfId="36" applyFont="1" applyAlignment="1">
      <alignment horizontal="left" vertical="top"/>
    </xf>
    <xf numFmtId="168" fontId="3" fillId="0" borderId="0" xfId="36" applyNumberFormat="1" applyFont="1"/>
    <xf numFmtId="0" fontId="5" fillId="0" borderId="112" xfId="36" applyFont="1" applyBorder="1" applyAlignment="1">
      <alignment horizontal="centerContinuous" vertical="center"/>
    </xf>
    <xf numFmtId="0" fontId="37" fillId="0" borderId="111" xfId="36" applyFont="1" applyBorder="1" applyAlignment="1">
      <alignment horizontal="center" vertical="center"/>
    </xf>
    <xf numFmtId="0" fontId="3" fillId="0" borderId="45" xfId="36" applyFont="1" applyBorder="1" applyAlignment="1">
      <alignment horizontal="center"/>
    </xf>
    <xf numFmtId="0" fontId="3" fillId="0" borderId="31" xfId="36" applyFont="1" applyBorder="1" applyAlignment="1">
      <alignment horizontal="center"/>
    </xf>
    <xf numFmtId="0" fontId="25" fillId="27" borderId="150" xfId="36" applyFont="1" applyFill="1" applyBorder="1" applyAlignment="1">
      <alignment horizontal="center" vertical="center" wrapText="1"/>
    </xf>
    <xf numFmtId="0" fontId="3" fillId="0" borderId="97" xfId="36" applyFont="1" applyBorder="1" applyAlignment="1">
      <alignment horizontal="center"/>
    </xf>
    <xf numFmtId="0" fontId="114" fillId="0" borderId="0" xfId="36" applyFont="1" applyAlignment="1">
      <alignment vertical="center"/>
    </xf>
    <xf numFmtId="0" fontId="2" fillId="0" borderId="151" xfId="36" applyFont="1" applyBorder="1" applyAlignment="1">
      <alignment horizontal="left"/>
    </xf>
    <xf numFmtId="0" fontId="5" fillId="0" borderId="125" xfId="36" applyFont="1" applyBorder="1" applyAlignment="1">
      <alignment horizontal="left"/>
    </xf>
    <xf numFmtId="0" fontId="5" fillId="0" borderId="152" xfId="36" applyFont="1" applyBorder="1" applyAlignment="1">
      <alignment horizontal="left"/>
    </xf>
    <xf numFmtId="0" fontId="3" fillId="27" borderId="36" xfId="36" applyFont="1" applyFill="1" applyBorder="1"/>
    <xf numFmtId="0" fontId="2" fillId="0" borderId="10" xfId="36" applyFont="1" applyBorder="1" applyAlignment="1">
      <alignment horizontal="left"/>
    </xf>
    <xf numFmtId="0" fontId="5" fillId="0" borderId="157" xfId="36" applyFont="1" applyBorder="1" applyAlignment="1">
      <alignment horizontal="left"/>
    </xf>
    <xf numFmtId="0" fontId="5" fillId="0" borderId="72" xfId="36" applyFont="1" applyBorder="1" applyAlignment="1">
      <alignment horizontal="left"/>
    </xf>
    <xf numFmtId="0" fontId="5" fillId="0" borderId="74" xfId="36" applyFont="1" applyBorder="1" applyAlignment="1">
      <alignment horizontal="left"/>
    </xf>
    <xf numFmtId="0" fontId="5" fillId="0" borderId="67" xfId="36" applyFont="1" applyBorder="1" applyAlignment="1">
      <alignment horizontal="left"/>
    </xf>
    <xf numFmtId="3" fontId="3" fillId="0" borderId="0" xfId="36" applyNumberFormat="1" applyFont="1" applyAlignment="1">
      <alignment horizontal="center"/>
    </xf>
    <xf numFmtId="0" fontId="11" fillId="27" borderId="36" xfId="36" applyFont="1" applyFill="1" applyBorder="1"/>
    <xf numFmtId="0" fontId="3" fillId="35" borderId="0" xfId="36" applyFont="1" applyFill="1" applyAlignment="1">
      <alignment horizontal="center"/>
    </xf>
    <xf numFmtId="0" fontId="33" fillId="0" borderId="154" xfId="36" applyFont="1" applyBorder="1"/>
    <xf numFmtId="0" fontId="3" fillId="0" borderId="31" xfId="40" applyFont="1" applyBorder="1" applyAlignment="1">
      <alignment horizontal="center"/>
    </xf>
    <xf numFmtId="3" fontId="3" fillId="35" borderId="0" xfId="36" applyNumberFormat="1" applyFont="1" applyFill="1" applyAlignment="1">
      <alignment horizontal="center"/>
    </xf>
    <xf numFmtId="0" fontId="28" fillId="0" borderId="143" xfId="36" applyFont="1" applyBorder="1" applyAlignment="1">
      <alignment horizontal="right"/>
    </xf>
    <xf numFmtId="0" fontId="4" fillId="0" borderId="145" xfId="36" applyFont="1" applyBorder="1"/>
    <xf numFmtId="169" fontId="28" fillId="0" borderId="70" xfId="36" applyNumberFormat="1" applyFont="1" applyBorder="1" applyAlignment="1">
      <alignment vertical="center"/>
    </xf>
    <xf numFmtId="0" fontId="11" fillId="0" borderId="154" xfId="36" applyFont="1" applyBorder="1"/>
    <xf numFmtId="169" fontId="11" fillId="0" borderId="131" xfId="36" applyNumberFormat="1" applyFont="1" applyBorder="1" applyAlignment="1">
      <alignment vertical="center"/>
    </xf>
    <xf numFmtId="0" fontId="3" fillId="0" borderId="0" xfId="44" applyFont="1" applyAlignment="1">
      <alignment horizontal="center"/>
    </xf>
    <xf numFmtId="0" fontId="28" fillId="27" borderId="10" xfId="36" applyFont="1" applyFill="1" applyBorder="1" applyAlignment="1">
      <alignment horizontal="right"/>
    </xf>
    <xf numFmtId="0" fontId="4" fillId="27" borderId="157" xfId="36" applyFont="1" applyFill="1" applyBorder="1"/>
    <xf numFmtId="169" fontId="28" fillId="27" borderId="72" xfId="36" applyNumberFormat="1" applyFont="1" applyFill="1" applyBorder="1" applyAlignment="1">
      <alignment vertical="center"/>
    </xf>
    <xf numFmtId="0" fontId="28" fillId="0" borderId="143" xfId="36" applyFont="1" applyBorder="1" applyAlignment="1">
      <alignment horizontal="center"/>
    </xf>
    <xf numFmtId="169" fontId="28" fillId="0" borderId="36" xfId="36" applyNumberFormat="1" applyFont="1" applyBorder="1" applyAlignment="1">
      <alignment vertical="center"/>
    </xf>
    <xf numFmtId="0" fontId="5" fillId="0" borderId="0" xfId="36" applyFont="1" applyAlignment="1">
      <alignment horizontal="center"/>
    </xf>
    <xf numFmtId="0" fontId="3" fillId="0" borderId="150" xfId="36" applyFont="1" applyBorder="1"/>
    <xf numFmtId="0" fontId="5" fillId="0" borderId="0" xfId="36" applyFont="1" applyAlignment="1">
      <alignment horizontal="center" wrapText="1"/>
    </xf>
    <xf numFmtId="0" fontId="165" fillId="0" borderId="150" xfId="42" applyFont="1" applyBorder="1" applyAlignment="1">
      <alignment horizontal="center"/>
    </xf>
    <xf numFmtId="0" fontId="114" fillId="0" borderId="155" xfId="36" applyFont="1" applyBorder="1" applyAlignment="1">
      <alignment vertical="center"/>
    </xf>
    <xf numFmtId="0" fontId="28" fillId="0" borderId="144" xfId="36" applyFont="1" applyBorder="1"/>
    <xf numFmtId="169" fontId="28" fillId="0" borderId="111" xfId="36" applyNumberFormat="1" applyFont="1" applyBorder="1" applyAlignment="1">
      <alignment vertical="center"/>
    </xf>
    <xf numFmtId="0" fontId="28" fillId="27" borderId="10" xfId="36" applyFont="1" applyFill="1" applyBorder="1" applyAlignment="1">
      <alignment horizontal="center"/>
    </xf>
    <xf numFmtId="0" fontId="28" fillId="27" borderId="157" xfId="36" applyFont="1" applyFill="1" applyBorder="1"/>
    <xf numFmtId="0" fontId="28" fillId="27" borderId="19" xfId="36" applyFont="1" applyFill="1" applyBorder="1" applyAlignment="1">
      <alignment horizontal="center"/>
    </xf>
    <xf numFmtId="0" fontId="28" fillId="27" borderId="0" xfId="36" applyFont="1" applyFill="1"/>
    <xf numFmtId="169" fontId="28" fillId="27" borderId="36" xfId="36" applyNumberFormat="1" applyFont="1" applyFill="1" applyBorder="1" applyAlignment="1">
      <alignment vertical="center"/>
    </xf>
    <xf numFmtId="0" fontId="33" fillId="0" borderId="151" xfId="36" applyFont="1" applyBorder="1" applyAlignment="1">
      <alignment horizontal="right"/>
    </xf>
    <xf numFmtId="0" fontId="33" fillId="0" borderId="158" xfId="36" applyFont="1" applyBorder="1"/>
    <xf numFmtId="169" fontId="33" fillId="0" borderId="98" xfId="36" applyNumberFormat="1" applyFont="1" applyBorder="1" applyAlignment="1">
      <alignment vertical="center"/>
    </xf>
    <xf numFmtId="0" fontId="3" fillId="27" borderId="150" xfId="36" applyFont="1" applyFill="1" applyBorder="1"/>
    <xf numFmtId="0" fontId="2" fillId="0" borderId="155" xfId="36" applyFont="1" applyBorder="1" applyAlignment="1">
      <alignment horizontal="center" vertical="center"/>
    </xf>
    <xf numFmtId="0" fontId="11" fillId="27" borderId="150" xfId="36" applyFont="1" applyFill="1" applyBorder="1"/>
    <xf numFmtId="0" fontId="3" fillId="0" borderId="145" xfId="36" applyFont="1" applyBorder="1"/>
    <xf numFmtId="169" fontId="6" fillId="0" borderId="70" xfId="36" applyNumberFormat="1" applyFont="1" applyBorder="1" applyAlignment="1">
      <alignment vertical="center"/>
    </xf>
    <xf numFmtId="0" fontId="28" fillId="27" borderId="15" xfId="36" applyFont="1" applyFill="1" applyBorder="1" applyAlignment="1">
      <alignment horizontal="center"/>
    </xf>
    <xf numFmtId="0" fontId="28" fillId="27" borderId="107" xfId="36" applyFont="1" applyFill="1" applyBorder="1"/>
    <xf numFmtId="169" fontId="28" fillId="27" borderId="149" xfId="36" applyNumberFormat="1" applyFont="1" applyFill="1" applyBorder="1" applyAlignment="1">
      <alignment vertical="center"/>
    </xf>
    <xf numFmtId="0" fontId="5" fillId="0" borderId="74" xfId="36" applyFont="1" applyBorder="1" applyAlignment="1">
      <alignment horizontal="left" wrapText="1"/>
    </xf>
    <xf numFmtId="0" fontId="5" fillId="0" borderId="67" xfId="36" applyFont="1" applyBorder="1" applyAlignment="1">
      <alignment horizontal="left" wrapText="1"/>
    </xf>
    <xf numFmtId="0" fontId="28" fillId="0" borderId="15" xfId="36" applyFont="1" applyBorder="1" applyAlignment="1">
      <alignment horizontal="right"/>
    </xf>
    <xf numFmtId="0" fontId="28" fillId="0" borderId="121" xfId="36" applyFont="1" applyBorder="1"/>
    <xf numFmtId="169" fontId="28" fillId="0" borderId="156" xfId="36" applyNumberFormat="1" applyFont="1" applyBorder="1" applyAlignment="1">
      <alignment vertical="center"/>
    </xf>
    <xf numFmtId="0" fontId="5" fillId="0" borderId="145" xfId="36" applyFont="1" applyBorder="1"/>
    <xf numFmtId="169" fontId="5" fillId="0" borderId="70" xfId="36" applyNumberFormat="1" applyFont="1" applyBorder="1" applyAlignment="1">
      <alignment vertical="center"/>
    </xf>
    <xf numFmtId="0" fontId="6" fillId="0" borderId="145" xfId="36" applyFont="1" applyBorder="1"/>
    <xf numFmtId="0" fontId="3" fillId="0" borderId="157" xfId="36" applyFont="1" applyBorder="1"/>
    <xf numFmtId="0" fontId="11" fillId="0" borderId="0" xfId="36" applyFont="1"/>
    <xf numFmtId="0" fontId="118" fillId="26" borderId="125" xfId="52" applyFont="1" applyFill="1" applyBorder="1" applyAlignment="1">
      <alignment horizontal="centerContinuous" readingOrder="1"/>
    </xf>
    <xf numFmtId="0" fontId="6" fillId="26" borderId="125" xfId="52" applyFont="1" applyFill="1" applyBorder="1" applyAlignment="1">
      <alignment horizontal="centerContinuous" readingOrder="1"/>
    </xf>
    <xf numFmtId="165" fontId="15" fillId="26" borderId="125" xfId="54" applyNumberFormat="1" applyFont="1" applyFill="1" applyBorder="1" applyAlignment="1">
      <alignment horizontal="centerContinuous" vertical="center" readingOrder="1"/>
    </xf>
    <xf numFmtId="165" fontId="15" fillId="26" borderId="158" xfId="54" applyNumberFormat="1" applyFont="1" applyFill="1" applyBorder="1" applyAlignment="1">
      <alignment horizontal="centerContinuous" vertical="center" readingOrder="1"/>
    </xf>
    <xf numFmtId="168" fontId="41" fillId="0" borderId="0" xfId="54" applyNumberFormat="1" applyAlignment="1">
      <alignment horizontal="center" vertical="center" wrapText="1"/>
    </xf>
    <xf numFmtId="165" fontId="41" fillId="0" borderId="0" xfId="54" applyNumberFormat="1" applyAlignment="1">
      <alignment vertical="center"/>
    </xf>
    <xf numFmtId="165" fontId="41" fillId="0" borderId="0" xfId="54" applyNumberFormat="1" applyAlignment="1">
      <alignment horizontal="center" vertical="center"/>
    </xf>
    <xf numFmtId="0" fontId="6" fillId="26" borderId="0" xfId="52" applyFont="1" applyFill="1" applyAlignment="1">
      <alignment horizontal="centerContinuous" readingOrder="1"/>
    </xf>
    <xf numFmtId="165" fontId="15" fillId="26" borderId="0" xfId="54" applyNumberFormat="1" applyFont="1" applyFill="1" applyAlignment="1">
      <alignment horizontal="centerContinuous" vertical="center" readingOrder="1"/>
    </xf>
    <xf numFmtId="165" fontId="127" fillId="26" borderId="0" xfId="54" applyNumberFormat="1" applyFont="1" applyFill="1" applyAlignment="1">
      <alignment horizontal="centerContinuous" vertical="center" readingOrder="1"/>
    </xf>
    <xf numFmtId="165" fontId="15" fillId="26" borderId="120" xfId="54" applyNumberFormat="1" applyFont="1" applyFill="1" applyBorder="1" applyAlignment="1">
      <alignment horizontal="centerContinuous" vertical="center" readingOrder="1"/>
    </xf>
    <xf numFmtId="168" fontId="41" fillId="0" borderId="0" xfId="54" applyNumberFormat="1" applyAlignment="1">
      <alignment vertical="center"/>
    </xf>
    <xf numFmtId="168" fontId="41" fillId="0" borderId="0" xfId="54" applyNumberFormat="1" applyAlignment="1">
      <alignment horizontal="center" vertical="center"/>
    </xf>
    <xf numFmtId="0" fontId="118" fillId="26" borderId="0" xfId="52" applyFont="1" applyFill="1" applyAlignment="1">
      <alignment horizontal="centerContinuous" vertical="center" readingOrder="1"/>
    </xf>
    <xf numFmtId="0" fontId="118" fillId="26" borderId="0" xfId="52" applyFont="1" applyFill="1" applyAlignment="1">
      <alignment horizontal="centerContinuous" readingOrder="1"/>
    </xf>
    <xf numFmtId="165" fontId="41" fillId="0" borderId="0" xfId="54" applyNumberFormat="1" applyAlignment="1">
      <alignment vertical="top"/>
    </xf>
    <xf numFmtId="165" fontId="41" fillId="26" borderId="54" xfId="54" applyNumberFormat="1" applyFill="1" applyBorder="1" applyAlignment="1">
      <alignment horizontal="right" vertical="top"/>
    </xf>
    <xf numFmtId="165" fontId="48" fillId="26" borderId="74" xfId="54" applyNumberFormat="1" applyFont="1" applyFill="1" applyBorder="1" applyAlignment="1">
      <alignment horizontal="right" vertical="top"/>
    </xf>
    <xf numFmtId="0" fontId="118" fillId="26" borderId="74" xfId="52" applyFont="1" applyFill="1" applyBorder="1" applyAlignment="1">
      <alignment horizontal="centerContinuous" vertical="center" readingOrder="1"/>
    </xf>
    <xf numFmtId="0" fontId="118" fillId="26" borderId="74" xfId="52" applyFont="1" applyFill="1" applyBorder="1" applyAlignment="1">
      <alignment vertical="top"/>
    </xf>
    <xf numFmtId="165" fontId="15" fillId="26" borderId="74" xfId="54" applyNumberFormat="1" applyFont="1" applyFill="1" applyBorder="1" applyAlignment="1">
      <alignment vertical="top"/>
    </xf>
    <xf numFmtId="165" fontId="15" fillId="26" borderId="55" xfId="54" applyNumberFormat="1" applyFont="1" applyFill="1" applyBorder="1" applyAlignment="1">
      <alignment vertical="top"/>
    </xf>
    <xf numFmtId="165" fontId="37" fillId="0" borderId="134" xfId="54" applyNumberFormat="1" applyFont="1" applyBorder="1" applyAlignment="1">
      <alignment horizontal="center" vertical="center" wrapText="1"/>
    </xf>
    <xf numFmtId="165" fontId="15" fillId="0" borderId="0" xfId="54" applyNumberFormat="1" applyFont="1" applyAlignment="1">
      <alignment vertical="center"/>
    </xf>
    <xf numFmtId="165" fontId="15" fillId="0" borderId="0" xfId="54" applyNumberFormat="1" applyFont="1" applyAlignment="1">
      <alignment horizontal="center" vertical="center"/>
    </xf>
    <xf numFmtId="14" fontId="41" fillId="0" borderId="0" xfId="54" applyNumberFormat="1" applyAlignment="1">
      <alignment vertical="top"/>
    </xf>
    <xf numFmtId="165" fontId="57" fillId="0" borderId="0" xfId="54" applyNumberFormat="1" applyFont="1" applyAlignment="1">
      <alignment horizontal="centerContinuous" vertical="center" readingOrder="1"/>
    </xf>
    <xf numFmtId="165" fontId="6" fillId="0" borderId="0" xfId="54" applyNumberFormat="1" applyFont="1" applyAlignment="1">
      <alignment horizontal="centerContinuous" vertical="center" readingOrder="1"/>
    </xf>
    <xf numFmtId="165" fontId="42" fillId="0" borderId="0" xfId="54" applyNumberFormat="1" applyFont="1" applyAlignment="1">
      <alignment horizontal="centerContinuous" vertical="center" readingOrder="1"/>
    </xf>
    <xf numFmtId="165" fontId="43" fillId="0" borderId="0" xfId="54" applyNumberFormat="1" applyFont="1" applyAlignment="1">
      <alignment horizontal="centerContinuous" vertical="center" readingOrder="1"/>
    </xf>
    <xf numFmtId="165" fontId="42" fillId="0" borderId="0" xfId="54" applyNumberFormat="1" applyFont="1" applyAlignment="1">
      <alignment vertical="center"/>
    </xf>
    <xf numFmtId="165" fontId="42" fillId="0" borderId="0" xfId="54" applyNumberFormat="1" applyFont="1" applyAlignment="1">
      <alignment horizontal="center" vertical="center"/>
    </xf>
    <xf numFmtId="165" fontId="57" fillId="0" borderId="0" xfId="54" applyNumberFormat="1" applyFont="1" applyAlignment="1">
      <alignment horizontal="center" vertical="center"/>
    </xf>
    <xf numFmtId="165" fontId="48" fillId="0" borderId="0" xfId="54" applyNumberFormat="1" applyFont="1" applyAlignment="1">
      <alignment horizontal="right" vertical="center"/>
    </xf>
    <xf numFmtId="165" fontId="44" fillId="28" borderId="31" xfId="54" applyNumberFormat="1" applyFont="1" applyFill="1" applyBorder="1" applyAlignment="1">
      <alignment horizontal="center" vertical="center"/>
    </xf>
    <xf numFmtId="0" fontId="30" fillId="0" borderId="0" xfId="0" applyFont="1" applyAlignment="1">
      <alignment vertical="center" wrapText="1"/>
    </xf>
    <xf numFmtId="14" fontId="42" fillId="0" borderId="0" xfId="54" applyNumberFormat="1" applyFont="1" applyAlignment="1">
      <alignment vertical="center"/>
    </xf>
    <xf numFmtId="0" fontId="5" fillId="0" borderId="0" xfId="41" applyFont="1" applyAlignment="1" applyProtection="1">
      <alignment horizontal="center" vertical="center"/>
      <protection hidden="1"/>
    </xf>
    <xf numFmtId="165" fontId="44" fillId="0" borderId="0" xfId="54" applyNumberFormat="1" applyFont="1" applyAlignment="1">
      <alignment horizontal="center" vertical="center"/>
    </xf>
    <xf numFmtId="165" fontId="53" fillId="0" borderId="0" xfId="54" applyNumberFormat="1" applyFont="1" applyAlignment="1">
      <alignment horizontal="right" vertical="center"/>
    </xf>
    <xf numFmtId="165" fontId="43" fillId="0" borderId="0" xfId="54" applyNumberFormat="1" applyFont="1" applyAlignment="1">
      <alignment vertical="center"/>
    </xf>
    <xf numFmtId="165" fontId="44" fillId="0" borderId="0" xfId="54" applyNumberFormat="1" applyFont="1" applyAlignment="1">
      <alignment horizontal="left" vertical="center"/>
    </xf>
    <xf numFmtId="165" fontId="44" fillId="0" borderId="0" xfId="54" applyNumberFormat="1" applyFont="1" applyAlignment="1">
      <alignment vertical="center"/>
    </xf>
    <xf numFmtId="0" fontId="115" fillId="31" borderId="0" xfId="36" applyFont="1" applyFill="1" applyAlignment="1">
      <alignment horizontal="center" vertical="center"/>
    </xf>
    <xf numFmtId="0" fontId="116" fillId="31" borderId="0" xfId="36" applyFont="1" applyFill="1" applyAlignment="1">
      <alignment horizontal="center" vertical="center"/>
    </xf>
    <xf numFmtId="0" fontId="117" fillId="31" borderId="0" xfId="36" applyFont="1" applyFill="1" applyAlignment="1">
      <alignment horizontal="center" vertical="center"/>
    </xf>
    <xf numFmtId="0" fontId="26" fillId="0" borderId="0" xfId="41" applyFont="1" applyAlignment="1">
      <alignment horizontal="center" vertical="center"/>
    </xf>
    <xf numFmtId="0" fontId="102" fillId="0" borderId="0" xfId="41" applyFont="1" applyAlignment="1">
      <alignment horizontal="center" vertical="center" wrapText="1"/>
    </xf>
    <xf numFmtId="0" fontId="154" fillId="0" borderId="0" xfId="41" applyFont="1" applyAlignment="1">
      <alignment horizontal="center" vertical="center"/>
    </xf>
    <xf numFmtId="0" fontId="138" fillId="0" borderId="0" xfId="41" applyFont="1" applyAlignment="1">
      <alignment horizontal="center" vertical="center" wrapText="1"/>
    </xf>
    <xf numFmtId="0" fontId="164" fillId="0" borderId="0" xfId="41" applyFont="1" applyAlignment="1">
      <alignment vertical="center"/>
    </xf>
    <xf numFmtId="0" fontId="160" fillId="0" borderId="0" xfId="41" applyFont="1" applyAlignment="1">
      <alignment vertical="center" wrapText="1"/>
    </xf>
    <xf numFmtId="0" fontId="165" fillId="0" borderId="0" xfId="41" applyFont="1" applyAlignment="1">
      <alignment vertical="center"/>
    </xf>
    <xf numFmtId="0" fontId="164" fillId="0" borderId="0" xfId="41" applyFont="1" applyAlignment="1">
      <alignment vertical="center" wrapText="1"/>
    </xf>
    <xf numFmtId="0" fontId="164" fillId="0" borderId="0" xfId="41" applyFont="1" applyAlignment="1">
      <alignment horizontal="center" vertical="center"/>
    </xf>
    <xf numFmtId="0" fontId="166" fillId="0" borderId="0" xfId="41" applyFont="1" applyAlignment="1">
      <alignment horizontal="center" vertical="center" wrapText="1"/>
    </xf>
    <xf numFmtId="0" fontId="9" fillId="0" borderId="0" xfId="41" applyFont="1" applyAlignment="1">
      <alignment vertical="center"/>
    </xf>
    <xf numFmtId="0" fontId="15" fillId="0" borderId="0" xfId="41" applyFont="1" applyAlignment="1">
      <alignment vertical="center"/>
    </xf>
    <xf numFmtId="0" fontId="3" fillId="0" borderId="0" xfId="41" applyFont="1" applyAlignment="1">
      <alignment vertical="center"/>
    </xf>
    <xf numFmtId="0" fontId="2" fillId="0" borderId="0" xfId="41" applyFont="1" applyAlignment="1">
      <alignment vertical="center" wrapText="1"/>
    </xf>
    <xf numFmtId="0" fontId="102" fillId="0" borderId="0" xfId="41" applyFont="1" applyAlignment="1">
      <alignment vertical="center"/>
    </xf>
    <xf numFmtId="0" fontId="9" fillId="0" borderId="0" xfId="41" applyFont="1" applyAlignment="1">
      <alignment vertical="center" wrapText="1"/>
    </xf>
    <xf numFmtId="0" fontId="102" fillId="0" borderId="0" xfId="41" applyFont="1" applyAlignment="1">
      <alignment horizontal="center" vertical="center"/>
    </xf>
    <xf numFmtId="0" fontId="166" fillId="0" borderId="0" xfId="41" applyFont="1"/>
    <xf numFmtId="0" fontId="138" fillId="0" borderId="0" xfId="41" applyFont="1"/>
    <xf numFmtId="0" fontId="164" fillId="0" borderId="0" xfId="41" applyFont="1"/>
    <xf numFmtId="0" fontId="165" fillId="0" borderId="0" xfId="41" applyFont="1"/>
    <xf numFmtId="0" fontId="164" fillId="0" borderId="0" xfId="41" applyFont="1" applyAlignment="1">
      <alignment wrapText="1"/>
    </xf>
    <xf numFmtId="0" fontId="166" fillId="0" borderId="0" xfId="41" applyFont="1" applyAlignment="1">
      <alignment horizontal="center" vertical="center"/>
    </xf>
    <xf numFmtId="165" fontId="41" fillId="26" borderId="125" xfId="54" applyNumberFormat="1" applyFill="1" applyBorder="1" applyAlignment="1">
      <alignment horizontal="right" vertical="top"/>
    </xf>
    <xf numFmtId="0" fontId="93" fillId="26" borderId="125" xfId="52" applyFont="1" applyFill="1" applyBorder="1" applyAlignment="1">
      <alignment vertical="top"/>
    </xf>
    <xf numFmtId="165" fontId="15" fillId="26" borderId="125" xfId="54" applyNumberFormat="1" applyFont="1" applyFill="1" applyBorder="1" applyAlignment="1">
      <alignment vertical="top"/>
    </xf>
    <xf numFmtId="168" fontId="41" fillId="0" borderId="0" xfId="54" applyNumberFormat="1" applyAlignment="1">
      <alignment vertical="center" wrapText="1"/>
    </xf>
    <xf numFmtId="0" fontId="93" fillId="26" borderId="0" xfId="52" applyFont="1" applyFill="1" applyAlignment="1">
      <alignment horizontal="centerContinuous" readingOrder="1"/>
    </xf>
    <xf numFmtId="0" fontId="93" fillId="26" borderId="0" xfId="52" applyFont="1" applyFill="1" applyAlignment="1">
      <alignment horizontal="centerContinuous"/>
    </xf>
    <xf numFmtId="165" fontId="15" fillId="26" borderId="0" xfId="54" applyNumberFormat="1" applyFont="1" applyFill="1" applyAlignment="1">
      <alignment horizontal="centerContinuous" vertical="center"/>
    </xf>
    <xf numFmtId="165" fontId="15" fillId="26" borderId="120" xfId="54" applyNumberFormat="1" applyFont="1" applyFill="1" applyBorder="1" applyAlignment="1">
      <alignment horizontal="centerContinuous" vertical="center"/>
    </xf>
    <xf numFmtId="165" fontId="41" fillId="26" borderId="74" xfId="54" applyNumberFormat="1" applyFill="1" applyBorder="1" applyAlignment="1">
      <alignment horizontal="right" vertical="top"/>
    </xf>
    <xf numFmtId="0" fontId="93" fillId="26" borderId="74" xfId="52" applyFont="1" applyFill="1" applyBorder="1" applyAlignment="1">
      <alignment vertical="top"/>
    </xf>
    <xf numFmtId="165" fontId="57" fillId="0" borderId="0" xfId="54" applyNumberFormat="1" applyFont="1" applyAlignment="1">
      <alignment horizontal="centerContinuous" vertical="center"/>
    </xf>
    <xf numFmtId="165" fontId="43" fillId="0" borderId="0" xfId="54" applyNumberFormat="1" applyFont="1" applyAlignment="1">
      <alignment horizontal="centerContinuous" vertical="center"/>
    </xf>
    <xf numFmtId="165" fontId="42" fillId="0" borderId="0" xfId="54" applyNumberFormat="1" applyFont="1" applyAlignment="1">
      <alignment horizontal="centerContinuous" vertical="center"/>
    </xf>
    <xf numFmtId="0" fontId="167" fillId="0" borderId="0" xfId="41" applyFont="1" applyAlignment="1">
      <alignment horizontal="center" vertical="center"/>
    </xf>
    <xf numFmtId="0" fontId="168" fillId="0" borderId="0" xfId="41" applyFont="1" applyAlignment="1">
      <alignment horizontal="center" vertical="center"/>
    </xf>
    <xf numFmtId="0" fontId="115" fillId="31" borderId="0" xfId="36" applyFont="1" applyFill="1" applyAlignment="1">
      <alignment horizontal="centerContinuous" vertical="center"/>
    </xf>
    <xf numFmtId="0" fontId="117" fillId="31" borderId="0" xfId="36" applyFont="1" applyFill="1" applyAlignment="1">
      <alignment horizontal="centerContinuous" vertical="center"/>
    </xf>
    <xf numFmtId="0" fontId="148" fillId="0" borderId="0" xfId="49" applyFont="1" applyAlignment="1">
      <alignment vertical="center" wrapText="1"/>
    </xf>
    <xf numFmtId="14" fontId="143" fillId="0" borderId="0" xfId="36" applyNumberFormat="1" applyFont="1" applyAlignment="1">
      <alignment horizontal="center" vertical="center" wrapText="1"/>
    </xf>
    <xf numFmtId="3" fontId="143" fillId="0" borderId="0" xfId="41" applyNumberFormat="1" applyFont="1" applyAlignment="1">
      <alignment horizontal="center" vertical="center" wrapText="1"/>
    </xf>
    <xf numFmtId="0" fontId="142" fillId="0" borderId="0" xfId="41" applyFont="1" applyAlignment="1">
      <alignment vertical="center"/>
    </xf>
    <xf numFmtId="0" fontId="118" fillId="0" borderId="0" xfId="0" applyFont="1" applyAlignment="1">
      <alignment horizontal="left" vertical="top"/>
    </xf>
    <xf numFmtId="0" fontId="2" fillId="0" borderId="91" xfId="0" applyFont="1" applyBorder="1" applyAlignment="1">
      <alignment horizontal="centerContinuous" vertical="center"/>
    </xf>
    <xf numFmtId="174" fontId="2" fillId="0" borderId="143" xfId="0" applyNumberFormat="1" applyFont="1" applyBorder="1" applyAlignment="1">
      <alignment horizontal="centerContinuous" vertical="center" wrapText="1"/>
    </xf>
    <xf numFmtId="174" fontId="2" fillId="0" borderId="144" xfId="0" applyNumberFormat="1" applyFont="1" applyBorder="1" applyAlignment="1">
      <alignment horizontal="centerContinuous" vertical="center" wrapText="1"/>
    </xf>
    <xf numFmtId="174" fontId="2" fillId="0" borderId="91" xfId="0" applyNumberFormat="1" applyFont="1" applyBorder="1" applyAlignment="1">
      <alignment horizontal="centerContinuous" vertical="center" wrapText="1"/>
    </xf>
    <xf numFmtId="0" fontId="3" fillId="0" borderId="34" xfId="0" applyFont="1" applyBorder="1" applyAlignment="1">
      <alignment horizontal="left" vertical="center"/>
    </xf>
    <xf numFmtId="0" fontId="3" fillId="0" borderId="55" xfId="0" applyFont="1" applyBorder="1" applyAlignment="1">
      <alignment horizontal="left" vertical="center"/>
    </xf>
    <xf numFmtId="174" fontId="4" fillId="27" borderId="11" xfId="0" applyNumberFormat="1" applyFont="1" applyFill="1" applyBorder="1" applyAlignment="1">
      <alignment horizontal="center" vertical="center"/>
    </xf>
    <xf numFmtId="174" fontId="4" fillId="27" borderId="157" xfId="0" applyNumberFormat="1" applyFont="1" applyFill="1" applyBorder="1" applyAlignment="1">
      <alignment horizontal="center" vertical="center"/>
    </xf>
    <xf numFmtId="174" fontId="4" fillId="29" borderId="72" xfId="0" applyNumberFormat="1" applyFont="1" applyFill="1" applyBorder="1" applyAlignment="1">
      <alignment horizontal="center" vertical="center"/>
    </xf>
    <xf numFmtId="0" fontId="3" fillId="0" borderId="35" xfId="0" applyFont="1" applyBorder="1" applyAlignment="1">
      <alignment horizontal="left" vertical="center"/>
    </xf>
    <xf numFmtId="0" fontId="3" fillId="0" borderId="56" xfId="0" applyFont="1" applyBorder="1" applyAlignment="1">
      <alignment horizontal="left" vertical="center"/>
    </xf>
    <xf numFmtId="174" fontId="4" fillId="27" borderId="20" xfId="0" applyNumberFormat="1" applyFont="1" applyFill="1" applyBorder="1" applyAlignment="1">
      <alignment horizontal="center" vertical="center"/>
    </xf>
    <xf numFmtId="174" fontId="4" fillId="27" borderId="0" xfId="0" applyNumberFormat="1" applyFont="1" applyFill="1" applyAlignment="1">
      <alignment horizontal="center" vertical="center"/>
    </xf>
    <xf numFmtId="174" fontId="4" fillId="29" borderId="36" xfId="0" applyNumberFormat="1" applyFont="1" applyFill="1" applyBorder="1" applyAlignment="1">
      <alignment horizontal="center" vertical="center"/>
    </xf>
    <xf numFmtId="0" fontId="6" fillId="0" borderId="35" xfId="0" applyFont="1" applyBorder="1" applyAlignment="1">
      <alignment horizontal="left" vertical="center"/>
    </xf>
    <xf numFmtId="0" fontId="6" fillId="0" borderId="74" xfId="0" applyFont="1" applyBorder="1" applyAlignment="1">
      <alignment horizontal="left" vertical="center"/>
    </xf>
    <xf numFmtId="174" fontId="28" fillId="27" borderId="20" xfId="0" applyNumberFormat="1" applyFont="1" applyFill="1" applyBorder="1" applyAlignment="1">
      <alignment horizontal="center" vertical="center"/>
    </xf>
    <xf numFmtId="174" fontId="28" fillId="27" borderId="0" xfId="0" applyNumberFormat="1" applyFont="1" applyFill="1" applyAlignment="1">
      <alignment horizontal="center" vertical="center"/>
    </xf>
    <xf numFmtId="0" fontId="3" fillId="0" borderId="74" xfId="0" applyFont="1" applyBorder="1" applyAlignment="1">
      <alignment horizontal="left" vertical="center"/>
    </xf>
    <xf numFmtId="174" fontId="28" fillId="27" borderId="149" xfId="0" applyNumberFormat="1" applyFont="1" applyFill="1" applyBorder="1" applyAlignment="1">
      <alignment horizontal="center" vertical="center"/>
    </xf>
    <xf numFmtId="0" fontId="6" fillId="0" borderId="153" xfId="0" applyFont="1" applyBorder="1" applyAlignment="1">
      <alignment horizontal="left" vertical="center"/>
    </xf>
    <xf numFmtId="0" fontId="6" fillId="0" borderId="159" xfId="0" applyFont="1" applyBorder="1" applyAlignment="1">
      <alignment horizontal="left" vertical="center"/>
    </xf>
    <xf numFmtId="174" fontId="10" fillId="27" borderId="160" xfId="0" applyNumberFormat="1" applyFont="1" applyFill="1" applyBorder="1" applyAlignment="1">
      <alignment horizontal="center" vertical="center" wrapText="1"/>
    </xf>
    <xf numFmtId="174" fontId="10" fillId="27" borderId="149" xfId="0" applyNumberFormat="1" applyFont="1" applyFill="1" applyBorder="1" applyAlignment="1">
      <alignment horizontal="center" vertical="center" wrapText="1"/>
    </xf>
    <xf numFmtId="0" fontId="120" fillId="0" borderId="0" xfId="36" applyFont="1"/>
    <xf numFmtId="0" fontId="23" fillId="0" borderId="0" xfId="0" applyFont="1" applyAlignment="1">
      <alignment vertical="top"/>
    </xf>
    <xf numFmtId="0" fontId="3" fillId="0" borderId="111" xfId="0" applyFont="1" applyBorder="1" applyAlignment="1">
      <alignment horizontal="center" vertical="center" wrapText="1"/>
    </xf>
    <xf numFmtId="0" fontId="138" fillId="35" borderId="0" xfId="0" applyFont="1" applyFill="1"/>
    <xf numFmtId="0" fontId="11" fillId="0" borderId="74" xfId="0" applyFont="1" applyBorder="1" applyAlignment="1">
      <alignment horizontal="left" vertical="center"/>
    </xf>
    <xf numFmtId="0" fontId="11" fillId="0" borderId="56" xfId="0" applyFont="1" applyBorder="1" applyAlignment="1">
      <alignment horizontal="left" vertical="center"/>
    </xf>
    <xf numFmtId="174" fontId="72" fillId="27" borderId="52" xfId="0" applyNumberFormat="1" applyFont="1" applyFill="1" applyBorder="1" applyAlignment="1">
      <alignment horizontal="center" vertical="center"/>
    </xf>
    <xf numFmtId="174" fontId="4" fillId="27" borderId="53" xfId="0" applyNumberFormat="1" applyFont="1" applyFill="1" applyBorder="1" applyAlignment="1">
      <alignment horizontal="center" vertical="center"/>
    </xf>
    <xf numFmtId="0" fontId="3" fillId="0" borderId="126" xfId="0" applyFont="1" applyBorder="1" applyAlignment="1">
      <alignment horizontal="left" vertical="center"/>
    </xf>
    <xf numFmtId="175" fontId="4" fillId="27" borderId="53" xfId="0" applyNumberFormat="1" applyFont="1" applyFill="1" applyBorder="1" applyAlignment="1">
      <alignment horizontal="center" vertical="center"/>
    </xf>
    <xf numFmtId="0" fontId="139" fillId="0" borderId="0" xfId="0" applyFont="1" applyAlignment="1">
      <alignment horizontal="center"/>
    </xf>
    <xf numFmtId="0" fontId="139" fillId="0" borderId="0" xfId="0" quotePrefix="1" applyFont="1" applyAlignment="1">
      <alignment horizontal="center"/>
    </xf>
    <xf numFmtId="0" fontId="6" fillId="0" borderId="55" xfId="0" applyFont="1" applyBorder="1" applyAlignment="1">
      <alignment horizontal="left" vertical="center"/>
    </xf>
    <xf numFmtId="0" fontId="6" fillId="0" borderId="56" xfId="0" applyFont="1" applyBorder="1" applyAlignment="1">
      <alignment horizontal="left" vertical="center"/>
    </xf>
    <xf numFmtId="0" fontId="6" fillId="0" borderId="31" xfId="0" applyFont="1" applyBorder="1" applyAlignment="1">
      <alignment horizontal="left" vertical="center"/>
    </xf>
    <xf numFmtId="174" fontId="4" fillId="0" borderId="81" xfId="0" applyNumberFormat="1" applyFont="1" applyBorder="1" applyAlignment="1">
      <alignment horizontal="center" vertical="center"/>
    </xf>
    <xf numFmtId="0" fontId="11" fillId="0" borderId="35" xfId="0" applyFont="1" applyBorder="1" applyAlignment="1">
      <alignment horizontal="left" vertical="center"/>
    </xf>
    <xf numFmtId="174" fontId="72" fillId="0" borderId="81" xfId="0" applyNumberFormat="1" applyFont="1" applyBorder="1" applyAlignment="1">
      <alignment horizontal="center" vertical="center"/>
    </xf>
    <xf numFmtId="0" fontId="3" fillId="0" borderId="35" xfId="0" applyFont="1" applyBorder="1" applyAlignment="1">
      <alignment vertical="center"/>
    </xf>
    <xf numFmtId="175" fontId="4" fillId="0" borderId="81" xfId="0" applyNumberFormat="1" applyFont="1" applyBorder="1" applyAlignment="1">
      <alignment horizontal="center" vertical="center"/>
    </xf>
    <xf numFmtId="0" fontId="3" fillId="0" borderId="153" xfId="0" applyFont="1" applyBorder="1" applyAlignment="1">
      <alignment vertical="center"/>
    </xf>
    <xf numFmtId="0" fontId="3" fillId="0" borderId="107" xfId="0" applyFont="1" applyBorder="1" applyAlignment="1">
      <alignment horizontal="left" vertical="center"/>
    </xf>
    <xf numFmtId="0" fontId="3" fillId="0" borderId="159" xfId="0" applyFont="1" applyBorder="1" applyAlignment="1">
      <alignment horizontal="left" vertical="center"/>
    </xf>
    <xf numFmtId="175" fontId="4" fillId="27" borderId="161" xfId="0" applyNumberFormat="1" applyFont="1" applyFill="1" applyBorder="1" applyAlignment="1">
      <alignment horizontal="center" vertical="center"/>
    </xf>
    <xf numFmtId="175" fontId="4" fillId="0" borderId="156" xfId="0" applyNumberFormat="1" applyFont="1" applyBorder="1" applyAlignment="1">
      <alignment horizontal="center" vertical="center"/>
    </xf>
    <xf numFmtId="0" fontId="6" fillId="0" borderId="34" xfId="0" applyFont="1" applyBorder="1" applyAlignment="1">
      <alignment horizontal="left" vertical="center"/>
    </xf>
    <xf numFmtId="0" fontId="6" fillId="0" borderId="35" xfId="0" applyFont="1" applyBorder="1" applyAlignment="1">
      <alignment vertical="center"/>
    </xf>
    <xf numFmtId="0" fontId="6" fillId="0" borderId="153" xfId="0" applyFont="1" applyBorder="1" applyAlignment="1">
      <alignment vertical="center"/>
    </xf>
    <xf numFmtId="0" fontId="6" fillId="0" borderId="107" xfId="0" applyFont="1" applyBorder="1" applyAlignment="1">
      <alignment horizontal="left" vertical="center"/>
    </xf>
    <xf numFmtId="174" fontId="11" fillId="36" borderId="138" xfId="0" applyNumberFormat="1" applyFont="1" applyFill="1" applyBorder="1" applyAlignment="1">
      <alignment horizontal="center" vertical="center"/>
    </xf>
    <xf numFmtId="174" fontId="11" fillId="36" borderId="152" xfId="0" applyNumberFormat="1" applyFont="1" applyFill="1" applyBorder="1" applyAlignment="1">
      <alignment horizontal="center" vertical="center"/>
    </xf>
    <xf numFmtId="174" fontId="11" fillId="36" borderId="20" xfId="0" applyNumberFormat="1" applyFont="1" applyFill="1" applyBorder="1" applyAlignment="1">
      <alignment horizontal="center" vertical="center"/>
    </xf>
    <xf numFmtId="174" fontId="11" fillId="36" borderId="36" xfId="0" applyNumberFormat="1" applyFont="1" applyFill="1" applyBorder="1" applyAlignment="1">
      <alignment horizontal="center" vertical="center"/>
    </xf>
    <xf numFmtId="174" fontId="11" fillId="36" borderId="160" xfId="0" applyNumberFormat="1" applyFont="1" applyFill="1" applyBorder="1" applyAlignment="1">
      <alignment horizontal="center" vertical="center"/>
    </xf>
    <xf numFmtId="174" fontId="11" fillId="36" borderId="149" xfId="0" applyNumberFormat="1" applyFont="1" applyFill="1" applyBorder="1" applyAlignment="1">
      <alignment horizontal="center" vertical="center"/>
    </xf>
    <xf numFmtId="0" fontId="61" fillId="30" borderId="120" xfId="0" applyFont="1" applyFill="1" applyBorder="1" applyAlignment="1">
      <alignment vertical="center"/>
    </xf>
    <xf numFmtId="165" fontId="23" fillId="30" borderId="0" xfId="53" applyFont="1" applyFill="1" applyAlignment="1">
      <alignment horizontal="left" vertical="top" wrapText="1"/>
    </xf>
    <xf numFmtId="0" fontId="0" fillId="0" borderId="0" xfId="0" applyAlignment="1">
      <alignment vertical="top" wrapText="1"/>
    </xf>
    <xf numFmtId="0" fontId="0" fillId="0" borderId="0" xfId="0" applyAlignment="1">
      <alignment wrapText="1"/>
    </xf>
    <xf numFmtId="0" fontId="139" fillId="0" borderId="0" xfId="0" applyFont="1" applyAlignment="1">
      <alignment horizontal="center" vertical="center"/>
    </xf>
    <xf numFmtId="0" fontId="5" fillId="0" borderId="107" xfId="0" applyFont="1" applyBorder="1" applyAlignment="1">
      <alignment vertical="center" wrapText="1"/>
    </xf>
    <xf numFmtId="0" fontId="161" fillId="0" borderId="0" xfId="0" applyFont="1" applyAlignment="1">
      <alignment horizontal="center" vertical="center"/>
    </xf>
    <xf numFmtId="0" fontId="2" fillId="0" borderId="12" xfId="0" applyFont="1" applyBorder="1" applyAlignment="1">
      <alignment horizontal="centerContinuous" vertical="center"/>
    </xf>
    <xf numFmtId="0" fontId="3" fillId="0" borderId="74" xfId="0" applyFont="1" applyBorder="1" applyAlignment="1">
      <alignment horizontal="centerContinuous" vertical="center"/>
    </xf>
    <xf numFmtId="0" fontId="28" fillId="0" borderId="19" xfId="0" applyFont="1" applyBorder="1" applyAlignment="1">
      <alignment horizontal="center" vertical="center"/>
    </xf>
    <xf numFmtId="0" fontId="6" fillId="0" borderId="20" xfId="0" applyFont="1" applyBorder="1" applyAlignment="1">
      <alignment horizontal="center" vertical="center" wrapText="1"/>
    </xf>
    <xf numFmtId="0" fontId="6" fillId="0" borderId="38" xfId="0" applyFont="1" applyBorder="1" applyAlignment="1">
      <alignment horizontal="centerContinuous" vertical="center"/>
    </xf>
    <xf numFmtId="0" fontId="6" fillId="0" borderId="39" xfId="0" applyFont="1" applyBorder="1" applyAlignment="1">
      <alignment horizontal="centerContinuous" vertical="center"/>
    </xf>
    <xf numFmtId="0" fontId="3" fillId="0" borderId="88" xfId="0" applyFont="1" applyBorder="1" applyAlignment="1">
      <alignment horizontal="centerContinuous"/>
    </xf>
    <xf numFmtId="0" fontId="11" fillId="0" borderId="26" xfId="0" applyFont="1" applyBorder="1" applyAlignment="1">
      <alignment horizontal="center"/>
    </xf>
    <xf numFmtId="0" fontId="12" fillId="0" borderId="108" xfId="0" applyFont="1" applyBorder="1" applyAlignment="1">
      <alignment horizontal="center"/>
    </xf>
    <xf numFmtId="0" fontId="12" fillId="0" borderId="162" xfId="0" applyFont="1" applyBorder="1" applyAlignment="1">
      <alignment horizontal="center"/>
    </xf>
    <xf numFmtId="0" fontId="12" fillId="0" borderId="36" xfId="0" applyFont="1" applyBorder="1" applyAlignment="1">
      <alignment horizontal="center"/>
    </xf>
    <xf numFmtId="0" fontId="4" fillId="0" borderId="34" xfId="0" applyFont="1" applyBorder="1" applyAlignment="1">
      <alignment horizontal="left"/>
    </xf>
    <xf numFmtId="0" fontId="33" fillId="0" borderId="20" xfId="0" applyFont="1" applyBorder="1" applyAlignment="1">
      <alignment horizontal="center"/>
    </xf>
    <xf numFmtId="2" fontId="3" fillId="0" borderId="95" xfId="32" applyNumberFormat="1" applyFont="1" applyFill="1" applyBorder="1" applyAlignment="1" applyProtection="1">
      <protection locked="0"/>
    </xf>
    <xf numFmtId="2" fontId="3" fillId="0" borderId="73" xfId="32" applyNumberFormat="1" applyFont="1" applyFill="1" applyBorder="1" applyAlignment="1" applyProtection="1">
      <protection locked="0"/>
    </xf>
    <xf numFmtId="2" fontId="3" fillId="0" borderId="97" xfId="32" applyNumberFormat="1" applyFont="1" applyFill="1" applyBorder="1" applyAlignment="1" applyProtection="1">
      <protection locked="0"/>
    </xf>
    <xf numFmtId="0" fontId="33" fillId="0" borderId="60" xfId="0" applyFont="1" applyBorder="1" applyAlignment="1">
      <alignment horizontal="center"/>
    </xf>
    <xf numFmtId="2" fontId="3" fillId="0" borderId="108" xfId="32" applyNumberFormat="1" applyFont="1" applyFill="1" applyBorder="1" applyAlignment="1" applyProtection="1">
      <protection locked="0"/>
    </xf>
    <xf numFmtId="2" fontId="3" fillId="0" borderId="44" xfId="32" applyNumberFormat="1" applyFont="1" applyFill="1" applyBorder="1" applyAlignment="1" applyProtection="1">
      <protection locked="0"/>
    </xf>
    <xf numFmtId="2" fontId="3" fillId="0" borderId="81" xfId="32" applyNumberFormat="1" applyFont="1" applyFill="1" applyBorder="1" applyAlignment="1" applyProtection="1">
      <protection locked="0"/>
    </xf>
    <xf numFmtId="2" fontId="3" fillId="0" borderId="75" xfId="32" applyNumberFormat="1" applyFont="1" applyFill="1" applyBorder="1" applyAlignment="1" applyProtection="1">
      <protection locked="0"/>
    </xf>
    <xf numFmtId="2" fontId="3" fillId="0" borderId="62" xfId="32" applyNumberFormat="1" applyFont="1" applyFill="1" applyBorder="1" applyAlignment="1" applyProtection="1">
      <protection locked="0"/>
    </xf>
    <xf numFmtId="0" fontId="33" fillId="0" borderId="54" xfId="0" applyFont="1" applyBorder="1" applyAlignment="1">
      <alignment horizontal="center"/>
    </xf>
    <xf numFmtId="40" fontId="3" fillId="0" borderId="99" xfId="32" applyFont="1" applyFill="1" applyBorder="1" applyAlignment="1"/>
    <xf numFmtId="40" fontId="3" fillId="0" borderId="100" xfId="32" applyFont="1" applyFill="1" applyBorder="1" applyAlignment="1"/>
    <xf numFmtId="40" fontId="3" fillId="0" borderId="101" xfId="32" applyFont="1" applyFill="1" applyBorder="1" applyAlignment="1"/>
    <xf numFmtId="0" fontId="15" fillId="0" borderId="0" xfId="0" applyFont="1"/>
    <xf numFmtId="0" fontId="9" fillId="0" borderId="0" xfId="0" applyFont="1" applyAlignment="1">
      <alignment vertical="top"/>
    </xf>
    <xf numFmtId="0" fontId="3" fillId="0" borderId="107" xfId="0" applyFont="1" applyBorder="1" applyAlignment="1">
      <alignment horizontal="centerContinuous" vertical="center"/>
    </xf>
    <xf numFmtId="0" fontId="3" fillId="0" borderId="78" xfId="0" applyFont="1" applyBorder="1" applyAlignment="1">
      <alignment horizontal="centerContinuous" vertical="center"/>
    </xf>
    <xf numFmtId="169" fontId="3" fillId="0" borderId="95" xfId="32" applyNumberFormat="1" applyFont="1" applyFill="1" applyBorder="1" applyAlignment="1" applyProtection="1">
      <protection locked="0"/>
    </xf>
    <xf numFmtId="169" fontId="3" fillId="0" borderId="97" xfId="32" applyNumberFormat="1" applyFont="1" applyFill="1" applyBorder="1" applyAlignment="1" applyProtection="1">
      <protection locked="0"/>
    </xf>
    <xf numFmtId="0" fontId="3" fillId="0" borderId="95" xfId="32" applyNumberFormat="1" applyFont="1" applyFill="1" applyBorder="1" applyAlignment="1" applyProtection="1">
      <protection locked="0"/>
    </xf>
    <xf numFmtId="0" fontId="3" fillId="0" borderId="97" xfId="32" applyNumberFormat="1" applyFont="1" applyFill="1" applyBorder="1" applyAlignment="1" applyProtection="1">
      <protection locked="0"/>
    </xf>
    <xf numFmtId="169" fontId="3" fillId="0" borderId="108" xfId="32" applyNumberFormat="1" applyFont="1" applyFill="1" applyBorder="1" applyAlignment="1" applyProtection="1">
      <protection locked="0"/>
    </xf>
    <xf numFmtId="169" fontId="3" fillId="0" borderId="81" xfId="32" applyNumberFormat="1" applyFont="1" applyFill="1" applyBorder="1" applyAlignment="1" applyProtection="1">
      <protection locked="0"/>
    </xf>
    <xf numFmtId="0" fontId="3" fillId="0" borderId="108" xfId="32" applyNumberFormat="1" applyFont="1" applyFill="1" applyBorder="1" applyAlignment="1" applyProtection="1">
      <protection locked="0"/>
    </xf>
    <xf numFmtId="0" fontId="3" fillId="0" borderId="81" xfId="32" applyNumberFormat="1" applyFont="1" applyFill="1" applyBorder="1" applyAlignment="1" applyProtection="1">
      <protection locked="0"/>
    </xf>
    <xf numFmtId="169" fontId="3" fillId="0" borderId="75" xfId="32" applyNumberFormat="1" applyFont="1" applyFill="1" applyBorder="1" applyAlignment="1" applyProtection="1">
      <protection locked="0"/>
    </xf>
    <xf numFmtId="0" fontId="3" fillId="0" borderId="75" xfId="32" applyNumberFormat="1" applyFont="1" applyFill="1" applyBorder="1" applyAlignment="1" applyProtection="1">
      <protection locked="0"/>
    </xf>
    <xf numFmtId="169" fontId="3" fillId="0" borderId="62" xfId="32" applyNumberFormat="1" applyFont="1" applyFill="1" applyBorder="1" applyAlignment="1" applyProtection="1">
      <protection locked="0"/>
    </xf>
    <xf numFmtId="0" fontId="3" fillId="0" borderId="62" xfId="32" applyNumberFormat="1" applyFont="1" applyFill="1" applyBorder="1" applyAlignment="1" applyProtection="1">
      <protection locked="0"/>
    </xf>
    <xf numFmtId="38" fontId="3" fillId="0" borderId="99" xfId="32" applyNumberFormat="1" applyFont="1" applyFill="1" applyBorder="1" applyAlignment="1"/>
    <xf numFmtId="38" fontId="3" fillId="0" borderId="101" xfId="32" applyNumberFormat="1" applyFont="1" applyFill="1" applyBorder="1" applyAlignment="1"/>
    <xf numFmtId="169" fontId="3" fillId="24" borderId="64" xfId="61" applyNumberFormat="1" applyFont="1" applyFill="1" applyBorder="1"/>
    <xf numFmtId="169" fontId="3" fillId="24" borderId="44" xfId="61" applyNumberFormat="1" applyFont="1" applyFill="1" applyBorder="1"/>
    <xf numFmtId="165" fontId="23" fillId="24" borderId="0" xfId="53" applyFont="1" applyFill="1" applyAlignment="1">
      <alignment horizontal="center" vertical="center"/>
    </xf>
    <xf numFmtId="165" fontId="15" fillId="24" borderId="0" xfId="53" applyFont="1" applyFill="1" applyAlignment="1">
      <alignment horizontal="left" vertical="center"/>
    </xf>
    <xf numFmtId="0" fontId="9" fillId="24" borderId="0" xfId="0" applyFont="1" applyFill="1"/>
    <xf numFmtId="165" fontId="66" fillId="24" borderId="0" xfId="53" applyFont="1" applyFill="1" applyAlignment="1">
      <alignment vertical="center"/>
    </xf>
    <xf numFmtId="0" fontId="0" fillId="24" borderId="0" xfId="0" applyFill="1" applyAlignment="1">
      <alignment vertical="center"/>
    </xf>
    <xf numFmtId="0" fontId="0" fillId="24" borderId="120" xfId="0" applyFill="1" applyBorder="1" applyAlignment="1">
      <alignment horizontal="left" vertical="center"/>
    </xf>
    <xf numFmtId="0" fontId="0" fillId="25" borderId="31" xfId="0" applyFill="1" applyBorder="1" applyAlignment="1">
      <alignment vertical="center"/>
    </xf>
    <xf numFmtId="165" fontId="23" fillId="24" borderId="125" xfId="53" applyFont="1" applyFill="1" applyBorder="1" applyAlignment="1">
      <alignment horizontal="center" vertical="center"/>
    </xf>
    <xf numFmtId="165" fontId="53" fillId="24" borderId="0" xfId="53" applyFont="1" applyFill="1" applyAlignment="1">
      <alignment horizontal="right" vertical="center"/>
    </xf>
    <xf numFmtId="165" fontId="61" fillId="24" borderId="120" xfId="53" applyFont="1" applyFill="1" applyBorder="1" applyAlignment="1">
      <alignment horizontal="left" vertical="center" wrapText="1"/>
    </xf>
    <xf numFmtId="165" fontId="67" fillId="24" borderId="53" xfId="53" applyFont="1" applyFill="1" applyBorder="1" applyAlignment="1">
      <alignment vertical="center" wrapText="1"/>
    </xf>
    <xf numFmtId="0" fontId="0" fillId="0" borderId="120" xfId="0" applyBorder="1"/>
    <xf numFmtId="165" fontId="53" fillId="24" borderId="0" xfId="53" applyFont="1" applyFill="1" applyAlignment="1">
      <alignment vertical="top"/>
    </xf>
    <xf numFmtId="165" fontId="23" fillId="0" borderId="31" xfId="53" applyFont="1" applyBorder="1" applyAlignment="1">
      <alignment horizontal="center" vertical="center"/>
    </xf>
    <xf numFmtId="2" fontId="117" fillId="0" borderId="31" xfId="53" applyNumberFormat="1" applyFont="1" applyBorder="1" applyAlignment="1" applyProtection="1">
      <alignment vertical="center"/>
      <protection locked="0"/>
    </xf>
    <xf numFmtId="165" fontId="53" fillId="30" borderId="0" xfId="53" applyFont="1" applyFill="1" applyAlignment="1">
      <alignment vertical="top"/>
    </xf>
    <xf numFmtId="165" fontId="23" fillId="30" borderId="31" xfId="53" applyFont="1" applyFill="1" applyBorder="1" applyAlignment="1">
      <alignment horizontal="center" vertical="center"/>
    </xf>
    <xf numFmtId="165" fontId="41" fillId="30" borderId="120" xfId="53" applyFill="1" applyBorder="1" applyAlignment="1">
      <alignment horizontal="left" vertical="center"/>
    </xf>
    <xf numFmtId="165" fontId="41" fillId="30" borderId="0" xfId="53" applyFill="1" applyAlignment="1">
      <alignment vertical="center"/>
    </xf>
    <xf numFmtId="1" fontId="9" fillId="30" borderId="31" xfId="53" applyNumberFormat="1" applyFont="1" applyFill="1" applyBorder="1" applyAlignment="1" applyProtection="1">
      <alignment vertical="center"/>
      <protection locked="0"/>
    </xf>
    <xf numFmtId="165" fontId="160" fillId="30" borderId="0" xfId="53" applyFont="1" applyFill="1" applyAlignment="1">
      <alignment vertical="center"/>
    </xf>
    <xf numFmtId="1" fontId="9" fillId="30" borderId="125" xfId="53" applyNumberFormat="1" applyFont="1" applyFill="1" applyBorder="1" applyAlignment="1">
      <alignment vertical="center"/>
    </xf>
    <xf numFmtId="0" fontId="61" fillId="30" borderId="120" xfId="0" applyFont="1" applyFill="1" applyBorder="1" applyAlignment="1">
      <alignment horizontal="center" vertical="center"/>
    </xf>
    <xf numFmtId="165" fontId="53" fillId="24" borderId="0" xfId="53" applyFont="1" applyFill="1" applyAlignment="1">
      <alignment horizontal="left" vertical="top"/>
    </xf>
    <xf numFmtId="165" fontId="74" fillId="24" borderId="0" xfId="53" applyFont="1" applyFill="1" applyAlignment="1">
      <alignment vertical="top"/>
    </xf>
    <xf numFmtId="165" fontId="23" fillId="24" borderId="0" xfId="53" applyFont="1" applyFill="1" applyAlignment="1">
      <alignment vertical="top" wrapText="1"/>
    </xf>
    <xf numFmtId="0" fontId="122" fillId="0" borderId="60" xfId="0" applyFont="1" applyBorder="1" applyAlignment="1">
      <alignment horizontal="left" vertical="center"/>
    </xf>
    <xf numFmtId="0" fontId="122" fillId="0" borderId="60" xfId="0" applyFont="1" applyBorder="1" applyAlignment="1">
      <alignment vertical="center" wrapText="1"/>
    </xf>
    <xf numFmtId="165" fontId="169" fillId="24" borderId="0" xfId="53" applyFont="1" applyFill="1" applyAlignment="1">
      <alignment vertical="center"/>
    </xf>
    <xf numFmtId="165" fontId="15" fillId="30" borderId="0" xfId="53" applyFont="1" applyFill="1" applyAlignment="1">
      <alignment vertical="top"/>
    </xf>
    <xf numFmtId="165" fontId="170" fillId="24" borderId="120" xfId="53" applyFont="1" applyFill="1" applyBorder="1" applyAlignment="1">
      <alignment horizontal="left" vertical="center"/>
    </xf>
    <xf numFmtId="165" fontId="165" fillId="24" borderId="120" xfId="53" applyFont="1" applyFill="1" applyBorder="1" applyAlignment="1">
      <alignment horizontal="center" vertical="center" wrapText="1"/>
    </xf>
    <xf numFmtId="1" fontId="9" fillId="30" borderId="31" xfId="0" applyNumberFormat="1" applyFont="1" applyFill="1" applyBorder="1" applyAlignment="1" applyProtection="1">
      <alignment vertical="center"/>
      <protection locked="0"/>
    </xf>
    <xf numFmtId="0" fontId="41" fillId="30" borderId="0" xfId="53" applyNumberFormat="1" applyFill="1" applyAlignment="1" applyProtection="1">
      <alignment vertical="center"/>
      <protection locked="0"/>
    </xf>
    <xf numFmtId="0" fontId="0" fillId="30" borderId="0" xfId="0" applyFill="1" applyAlignment="1">
      <alignment vertical="center"/>
    </xf>
    <xf numFmtId="0" fontId="15" fillId="30" borderId="0" xfId="55" applyFill="1" applyAlignment="1" applyProtection="1">
      <alignment vertical="center"/>
      <protection locked="0"/>
    </xf>
    <xf numFmtId="0" fontId="15" fillId="30" borderId="0" xfId="55" applyFill="1" applyAlignment="1">
      <alignment vertical="center"/>
    </xf>
    <xf numFmtId="165" fontId="132" fillId="24" borderId="0" xfId="53" applyFont="1" applyFill="1" applyAlignment="1">
      <alignment vertical="center"/>
    </xf>
    <xf numFmtId="165" fontId="15" fillId="24" borderId="0" xfId="53" applyFont="1" applyFill="1" applyAlignment="1">
      <alignment vertical="center" wrapText="1"/>
    </xf>
    <xf numFmtId="165" fontId="66" fillId="30" borderId="120" xfId="53" applyFont="1" applyFill="1" applyBorder="1" applyAlignment="1">
      <alignment horizontal="left" vertical="center" wrapText="1"/>
    </xf>
    <xf numFmtId="0" fontId="0" fillId="30" borderId="0" xfId="0" applyFill="1" applyAlignment="1">
      <alignment wrapText="1"/>
    </xf>
    <xf numFmtId="1" fontId="9" fillId="30" borderId="0" xfId="0" applyNumberFormat="1" applyFont="1" applyFill="1" applyAlignment="1">
      <alignment vertical="center"/>
    </xf>
    <xf numFmtId="0" fontId="0" fillId="30" borderId="120" xfId="0" applyFill="1" applyBorder="1" applyAlignment="1">
      <alignment wrapText="1"/>
    </xf>
    <xf numFmtId="0" fontId="0" fillId="0" borderId="120" xfId="0" applyBorder="1" applyAlignment="1">
      <alignment horizontal="left" vertical="top" wrapText="1"/>
    </xf>
    <xf numFmtId="0" fontId="15" fillId="0" borderId="0" xfId="55" applyAlignment="1" applyProtection="1">
      <alignment vertical="center"/>
      <protection locked="0"/>
    </xf>
    <xf numFmtId="165" fontId="61" fillId="24" borderId="20" xfId="53" applyFont="1" applyFill="1" applyBorder="1" applyAlignment="1">
      <alignment horizontal="left" vertical="center"/>
    </xf>
    <xf numFmtId="165" fontId="101" fillId="24" borderId="0" xfId="53" applyFont="1" applyFill="1" applyAlignment="1">
      <alignment vertical="center"/>
    </xf>
    <xf numFmtId="165" fontId="117" fillId="24" borderId="0" xfId="53" applyFont="1" applyFill="1" applyAlignment="1">
      <alignment vertical="center"/>
    </xf>
    <xf numFmtId="0" fontId="0" fillId="0" borderId="0" xfId="0" applyAlignment="1">
      <alignment vertical="center"/>
    </xf>
    <xf numFmtId="0" fontId="0" fillId="30" borderId="0" xfId="0" applyFill="1" applyAlignment="1">
      <alignment vertical="top" wrapText="1"/>
    </xf>
    <xf numFmtId="0" fontId="0" fillId="30" borderId="0" xfId="0" applyFill="1" applyAlignment="1">
      <alignment horizontal="left" vertical="top" wrapText="1"/>
    </xf>
    <xf numFmtId="165" fontId="15" fillId="24" borderId="0" xfId="53" applyFont="1" applyFill="1" applyAlignment="1">
      <alignment horizontal="center" vertical="center"/>
    </xf>
    <xf numFmtId="165" fontId="15" fillId="24" borderId="120" xfId="53" applyFont="1" applyFill="1" applyBorder="1" applyAlignment="1">
      <alignment horizontal="center" vertical="center"/>
    </xf>
    <xf numFmtId="165" fontId="41" fillId="24" borderId="0" xfId="53" applyFill="1" applyAlignment="1" applyProtection="1">
      <alignment horizontal="right" vertical="center"/>
      <protection locked="0"/>
    </xf>
    <xf numFmtId="0" fontId="3" fillId="0" borderId="107" xfId="61" applyFont="1" applyBorder="1"/>
    <xf numFmtId="0" fontId="69" fillId="0" borderId="0" xfId="53" applyNumberFormat="1" applyFont="1" applyAlignment="1">
      <alignment horizontal="center" vertical="center" wrapText="1"/>
    </xf>
    <xf numFmtId="0" fontId="18" fillId="0" borderId="138" xfId="61" applyFont="1" applyBorder="1" applyAlignment="1">
      <alignment horizontal="centerContinuous" vertical="center"/>
    </xf>
    <xf numFmtId="0" fontId="3" fillId="0" borderId="108" xfId="61" applyFont="1" applyBorder="1"/>
    <xf numFmtId="0" fontId="161" fillId="0" borderId="0" xfId="0" applyFont="1" applyAlignment="1" applyProtection="1">
      <alignment horizontal="center" vertical="center"/>
      <protection locked="0"/>
    </xf>
    <xf numFmtId="0" fontId="15" fillId="0" borderId="31" xfId="0" applyFont="1" applyBorder="1" applyAlignment="1">
      <alignment horizontal="center"/>
    </xf>
    <xf numFmtId="0" fontId="3" fillId="0" borderId="15" xfId="0" applyFont="1" applyBorder="1" applyAlignment="1">
      <alignment horizontal="justify" vertical="center" wrapText="1"/>
    </xf>
    <xf numFmtId="0" fontId="164" fillId="0" borderId="0" xfId="61" applyFont="1" applyAlignment="1">
      <alignment wrapText="1"/>
    </xf>
    <xf numFmtId="0" fontId="3" fillId="0" borderId="19" xfId="0" applyFont="1" applyBorder="1"/>
    <xf numFmtId="0" fontId="3" fillId="0" borderId="36" xfId="0" applyFont="1" applyBorder="1" applyAlignment="1">
      <alignment horizontal="center"/>
    </xf>
    <xf numFmtId="0" fontId="3" fillId="0" borderId="107" xfId="0" applyFont="1" applyBorder="1" applyAlignment="1">
      <alignment horizontal="center"/>
    </xf>
    <xf numFmtId="0" fontId="3" fillId="0" borderId="149" xfId="0" applyFont="1" applyBorder="1" applyAlignment="1">
      <alignment horizontal="center"/>
    </xf>
    <xf numFmtId="1" fontId="164" fillId="0" borderId="111" xfId="61" applyNumberFormat="1" applyFont="1" applyBorder="1" applyAlignment="1">
      <alignment horizontal="center" vertical="center"/>
    </xf>
    <xf numFmtId="169" fontId="164" fillId="0" borderId="111" xfId="61" applyNumberFormat="1" applyFont="1" applyBorder="1" applyAlignment="1">
      <alignment horizontal="center" vertical="center"/>
    </xf>
    <xf numFmtId="0" fontId="15" fillId="0" borderId="111" xfId="61" applyBorder="1" applyAlignment="1">
      <alignment horizontal="center" vertical="center" wrapText="1"/>
    </xf>
    <xf numFmtId="0" fontId="3" fillId="0" borderId="157" xfId="0" applyFont="1" applyBorder="1"/>
    <xf numFmtId="0" fontId="3" fillId="0" borderId="157" xfId="0" applyFont="1" applyBorder="1" applyAlignment="1">
      <alignment horizontal="center"/>
    </xf>
    <xf numFmtId="0" fontId="114" fillId="0" borderId="157" xfId="0" applyFont="1" applyBorder="1" applyAlignment="1">
      <alignment vertical="center"/>
    </xf>
    <xf numFmtId="0" fontId="28" fillId="0" borderId="19" xfId="36" applyFont="1" applyBorder="1" applyAlignment="1">
      <alignment horizontal="right"/>
    </xf>
    <xf numFmtId="0" fontId="28" fillId="0" borderId="0" xfId="36" applyFont="1"/>
    <xf numFmtId="0" fontId="138" fillId="0" borderId="0" xfId="0" applyFont="1"/>
    <xf numFmtId="0" fontId="26" fillId="0" borderId="0" xfId="45" applyFont="1" applyAlignment="1">
      <alignment vertical="center" wrapText="1"/>
    </xf>
    <xf numFmtId="0" fontId="26" fillId="0" borderId="0" xfId="42" applyFont="1" applyAlignment="1">
      <alignment vertical="center" wrapText="1"/>
    </xf>
    <xf numFmtId="0" fontId="9" fillId="0" borderId="0" xfId="36" applyFont="1"/>
    <xf numFmtId="0" fontId="3" fillId="0" borderId="45" xfId="36" applyFont="1" applyBorder="1" applyAlignment="1">
      <alignment horizontal="left" wrapText="1"/>
    </xf>
    <xf numFmtId="0" fontId="3" fillId="0" borderId="0" xfId="0" applyFont="1" applyBorder="1"/>
    <xf numFmtId="165" fontId="9" fillId="0" borderId="0" xfId="53" applyFont="1" applyAlignment="1">
      <alignment horizontal="left" vertical="center" wrapText="1"/>
    </xf>
    <xf numFmtId="165" fontId="9" fillId="0" borderId="120" xfId="53" applyFont="1" applyBorder="1" applyAlignment="1">
      <alignment horizontal="left" vertical="center" wrapText="1"/>
    </xf>
    <xf numFmtId="165" fontId="9" fillId="30" borderId="0" xfId="53" applyFont="1" applyFill="1" applyAlignment="1">
      <alignment horizontal="left" vertical="center" wrapText="1"/>
    </xf>
    <xf numFmtId="0" fontId="9" fillId="0" borderId="0" xfId="0" applyFont="1" applyAlignment="1">
      <alignment horizontal="left" vertical="center" wrapText="1"/>
    </xf>
    <xf numFmtId="0" fontId="99" fillId="26" borderId="60" xfId="0" applyFont="1" applyFill="1" applyBorder="1" applyAlignment="1">
      <alignment horizontal="center" vertical="center" readingOrder="1"/>
    </xf>
    <xf numFmtId="0" fontId="99" fillId="26" borderId="126" xfId="0" applyFont="1" applyFill="1" applyBorder="1" applyAlignment="1">
      <alignment horizontal="center" vertical="center" readingOrder="1"/>
    </xf>
    <xf numFmtId="0" fontId="99" fillId="26" borderId="56" xfId="0" applyFont="1" applyFill="1" applyBorder="1" applyAlignment="1">
      <alignment horizontal="center" vertical="center" readingOrder="1"/>
    </xf>
    <xf numFmtId="49" fontId="15" fillId="25" borderId="60" xfId="53" applyNumberFormat="1" applyFont="1" applyFill="1" applyBorder="1" applyAlignment="1" applyProtection="1">
      <alignment horizontal="left" vertical="center"/>
      <protection locked="0"/>
    </xf>
    <xf numFmtId="49" fontId="15" fillId="25" borderId="56" xfId="53" applyNumberFormat="1" applyFont="1" applyFill="1" applyBorder="1" applyAlignment="1" applyProtection="1">
      <alignment horizontal="left" vertical="center"/>
      <protection locked="0"/>
    </xf>
    <xf numFmtId="49" fontId="15" fillId="0" borderId="60" xfId="53" applyNumberFormat="1" applyFont="1" applyBorder="1" applyAlignment="1" applyProtection="1">
      <alignment horizontal="left" vertical="center"/>
      <protection locked="0"/>
    </xf>
    <xf numFmtId="49" fontId="15" fillId="0" borderId="56" xfId="53" applyNumberFormat="1" applyFont="1" applyBorder="1" applyAlignment="1" applyProtection="1">
      <alignment horizontal="left" vertical="center"/>
      <protection locked="0"/>
    </xf>
    <xf numFmtId="49" fontId="8" fillId="0" borderId="60" xfId="22" applyNumberFormat="1" applyFill="1" applyBorder="1" applyAlignment="1" applyProtection="1">
      <alignment horizontal="left" vertical="center"/>
      <protection locked="0"/>
    </xf>
    <xf numFmtId="49" fontId="15" fillId="0" borderId="56" xfId="50" applyNumberFormat="1" applyFont="1" applyBorder="1" applyAlignment="1" applyProtection="1">
      <alignment horizontal="left" vertical="center"/>
      <protection locked="0"/>
    </xf>
    <xf numFmtId="49" fontId="15" fillId="0" borderId="60" xfId="0" applyNumberFormat="1" applyFont="1" applyBorder="1" applyAlignment="1" applyProtection="1">
      <alignment horizontal="left" vertical="center"/>
      <protection locked="0"/>
    </xf>
    <xf numFmtId="49" fontId="24" fillId="0" borderId="56" xfId="0" applyNumberFormat="1" applyFont="1" applyBorder="1" applyAlignment="1" applyProtection="1">
      <alignment horizontal="left" vertical="center"/>
      <protection locked="0"/>
    </xf>
    <xf numFmtId="49" fontId="24" fillId="0" borderId="60" xfId="0" applyNumberFormat="1" applyFont="1" applyBorder="1" applyAlignment="1" applyProtection="1">
      <alignment horizontal="left" vertical="center"/>
      <protection locked="0"/>
    </xf>
    <xf numFmtId="165" fontId="23" fillId="0" borderId="0" xfId="53" applyFont="1" applyAlignment="1">
      <alignment horizontal="left" wrapText="1"/>
    </xf>
    <xf numFmtId="165" fontId="5" fillId="0" borderId="0" xfId="53" applyFont="1" applyAlignment="1">
      <alignment horizontal="left" wrapText="1"/>
    </xf>
    <xf numFmtId="165" fontId="22" fillId="0" borderId="0" xfId="53" applyFont="1" applyAlignment="1">
      <alignment horizontal="left" wrapText="1"/>
    </xf>
    <xf numFmtId="165" fontId="22" fillId="0" borderId="125" xfId="53" applyFont="1" applyBorder="1" applyAlignment="1">
      <alignment horizontal="left" wrapText="1"/>
    </xf>
    <xf numFmtId="49" fontId="24" fillId="0" borderId="138" xfId="50" applyNumberFormat="1" applyFont="1" applyBorder="1" applyAlignment="1" applyProtection="1">
      <alignment horizontal="left" vertical="center" wrapText="1"/>
      <protection locked="0"/>
    </xf>
    <xf numFmtId="49" fontId="24" fillId="0" borderId="125" xfId="50" applyNumberFormat="1" applyFont="1" applyBorder="1" applyAlignment="1" applyProtection="1">
      <alignment horizontal="left" vertical="center" wrapText="1"/>
      <protection locked="0"/>
    </xf>
    <xf numFmtId="49" fontId="24" fillId="0" borderId="158" xfId="50" applyNumberFormat="1" applyFont="1" applyBorder="1" applyAlignment="1" applyProtection="1">
      <alignment horizontal="left" vertical="center" wrapText="1"/>
      <protection locked="0"/>
    </xf>
    <xf numFmtId="49" fontId="24" fillId="0" borderId="20" xfId="50" applyNumberFormat="1" applyFont="1" applyBorder="1" applyAlignment="1" applyProtection="1">
      <alignment horizontal="left" vertical="center" wrapText="1"/>
      <protection locked="0"/>
    </xf>
    <xf numFmtId="49" fontId="24" fillId="0" borderId="0" xfId="50" applyNumberFormat="1" applyFont="1" applyAlignment="1" applyProtection="1">
      <alignment horizontal="left" vertical="center" wrapText="1"/>
      <protection locked="0"/>
    </xf>
    <xf numFmtId="49" fontId="24" fillId="0" borderId="120" xfId="50" applyNumberFormat="1" applyFont="1" applyBorder="1" applyAlignment="1" applyProtection="1">
      <alignment horizontal="left" vertical="center" wrapText="1"/>
      <protection locked="0"/>
    </xf>
    <xf numFmtId="49" fontId="24" fillId="0" borderId="54" xfId="50" applyNumberFormat="1" applyFont="1" applyBorder="1" applyAlignment="1" applyProtection="1">
      <alignment horizontal="left" vertical="center" wrapText="1"/>
      <protection locked="0"/>
    </xf>
    <xf numFmtId="49" fontId="24" fillId="0" borderId="74" xfId="50" applyNumberFormat="1" applyFont="1" applyBorder="1" applyAlignment="1" applyProtection="1">
      <alignment horizontal="left" vertical="center" wrapText="1"/>
      <protection locked="0"/>
    </xf>
    <xf numFmtId="49" fontId="24" fillId="0" borderId="55" xfId="50" applyNumberFormat="1" applyFont="1" applyBorder="1" applyAlignment="1" applyProtection="1">
      <alignment horizontal="left" vertical="center" wrapText="1"/>
      <protection locked="0"/>
    </xf>
    <xf numFmtId="0" fontId="95" fillId="26" borderId="60" xfId="0" applyFont="1" applyFill="1" applyBorder="1" applyAlignment="1">
      <alignment horizontal="center" vertical="center" wrapText="1" readingOrder="1"/>
    </xf>
    <xf numFmtId="0" fontId="95" fillId="26" borderId="126" xfId="0" applyFont="1" applyFill="1" applyBorder="1" applyAlignment="1">
      <alignment horizontal="center" vertical="center" wrapText="1" readingOrder="1"/>
    </xf>
    <xf numFmtId="0" fontId="95" fillId="26" borderId="56" xfId="0" applyFont="1" applyFill="1" applyBorder="1" applyAlignment="1">
      <alignment horizontal="center" vertical="center" wrapText="1" readingOrder="1"/>
    </xf>
    <xf numFmtId="165" fontId="44" fillId="0" borderId="0" xfId="53" applyFont="1" applyAlignment="1">
      <alignment horizontal="left" vertical="center"/>
    </xf>
    <xf numFmtId="49" fontId="15" fillId="0" borderId="60" xfId="50" applyNumberFormat="1" applyFont="1" applyBorder="1" applyAlignment="1" applyProtection="1">
      <alignment horizontal="left" vertical="center"/>
      <protection locked="0"/>
    </xf>
    <xf numFmtId="49" fontId="15" fillId="0" borderId="126" xfId="50" applyNumberFormat="1" applyFont="1" applyBorder="1" applyAlignment="1" applyProtection="1">
      <alignment horizontal="left" vertical="center"/>
      <protection locked="0"/>
    </xf>
    <xf numFmtId="49" fontId="15" fillId="25" borderId="60" xfId="50" applyNumberFormat="1" applyFont="1" applyFill="1" applyBorder="1" applyAlignment="1" applyProtection="1">
      <alignment horizontal="left" vertical="center"/>
      <protection locked="0"/>
    </xf>
    <xf numFmtId="49" fontId="15" fillId="25" borderId="126" xfId="50" applyNumberFormat="1" applyFont="1" applyFill="1" applyBorder="1" applyAlignment="1" applyProtection="1">
      <alignment horizontal="left" vertical="center"/>
      <protection locked="0"/>
    </xf>
    <xf numFmtId="49" fontId="15" fillId="25" borderId="56" xfId="50" applyNumberFormat="1" applyFont="1" applyFill="1" applyBorder="1" applyAlignment="1" applyProtection="1">
      <alignment horizontal="left" vertical="center"/>
      <protection locked="0"/>
    </xf>
    <xf numFmtId="165" fontId="44" fillId="0" borderId="0" xfId="53" applyFont="1" applyAlignment="1">
      <alignment horizontal="center" vertical="center"/>
    </xf>
    <xf numFmtId="49" fontId="107" fillId="24" borderId="60" xfId="22" applyNumberFormat="1" applyFont="1" applyFill="1" applyBorder="1" applyAlignment="1" applyProtection="1">
      <alignment vertical="center"/>
      <protection locked="0"/>
    </xf>
    <xf numFmtId="49" fontId="15" fillId="24" borderId="126" xfId="0" applyNumberFormat="1" applyFont="1" applyFill="1" applyBorder="1" applyAlignment="1" applyProtection="1">
      <alignment vertical="center"/>
      <protection locked="0"/>
    </xf>
    <xf numFmtId="49" fontId="15" fillId="24" borderId="56" xfId="0" applyNumberFormat="1" applyFont="1" applyFill="1" applyBorder="1" applyAlignment="1" applyProtection="1">
      <alignment vertical="center"/>
      <protection locked="0"/>
    </xf>
    <xf numFmtId="165" fontId="23" fillId="30" borderId="0" xfId="53" applyFont="1" applyFill="1" applyAlignment="1">
      <alignment horizontal="left" vertical="center" wrapText="1"/>
    </xf>
    <xf numFmtId="165" fontId="23" fillId="30" borderId="120" xfId="53" applyFont="1" applyFill="1" applyBorder="1" applyAlignment="1">
      <alignment horizontal="left" vertical="center" wrapText="1"/>
    </xf>
    <xf numFmtId="165" fontId="9" fillId="24" borderId="0" xfId="53" applyFont="1" applyFill="1" applyAlignment="1">
      <alignment vertical="center" wrapText="1"/>
    </xf>
    <xf numFmtId="0" fontId="0" fillId="0" borderId="0" xfId="0" applyAlignment="1">
      <alignment vertical="center" wrapText="1"/>
    </xf>
    <xf numFmtId="0" fontId="23" fillId="0" borderId="0" xfId="0" applyFont="1" applyAlignment="1">
      <alignment horizontal="left" vertical="top" wrapText="1"/>
    </xf>
    <xf numFmtId="0" fontId="23" fillId="0" borderId="120" xfId="0" applyFont="1" applyBorder="1" applyAlignment="1">
      <alignment horizontal="left" vertical="top" wrapText="1"/>
    </xf>
    <xf numFmtId="0" fontId="23" fillId="0" borderId="0" xfId="0" applyFont="1" applyAlignment="1">
      <alignment horizontal="left" vertical="top"/>
    </xf>
    <xf numFmtId="0" fontId="23" fillId="0" borderId="120" xfId="0" applyFont="1" applyBorder="1" applyAlignment="1">
      <alignment horizontal="left" vertical="top"/>
    </xf>
    <xf numFmtId="165" fontId="23" fillId="30" borderId="0" xfId="53" applyFont="1" applyFill="1" applyAlignment="1">
      <alignment horizontal="left" vertical="top" wrapText="1"/>
    </xf>
    <xf numFmtId="0" fontId="0" fillId="0" borderId="0" xfId="0" applyAlignment="1">
      <alignment vertical="top" wrapText="1"/>
    </xf>
    <xf numFmtId="0" fontId="0" fillId="0" borderId="120" xfId="0" applyBorder="1" applyAlignment="1">
      <alignment vertical="top" wrapText="1"/>
    </xf>
    <xf numFmtId="165" fontId="23" fillId="30" borderId="0" xfId="53" applyFont="1" applyFill="1" applyAlignment="1">
      <alignment vertical="center" wrapText="1"/>
    </xf>
    <xf numFmtId="0" fontId="0" fillId="30" borderId="0" xfId="0" applyFill="1" applyAlignment="1">
      <alignment vertical="center" wrapText="1"/>
    </xf>
    <xf numFmtId="0" fontId="23" fillId="30" borderId="0" xfId="0" applyFont="1" applyFill="1" applyAlignment="1">
      <alignment vertical="center" wrapText="1"/>
    </xf>
    <xf numFmtId="0" fontId="23" fillId="0" borderId="0" xfId="0" applyFont="1" applyAlignment="1">
      <alignment wrapText="1"/>
    </xf>
    <xf numFmtId="0" fontId="0" fillId="0" borderId="0" xfId="0" applyAlignment="1">
      <alignment wrapText="1"/>
    </xf>
    <xf numFmtId="165" fontId="61" fillId="30" borderId="20" xfId="53" applyFont="1" applyFill="1" applyBorder="1" applyAlignment="1">
      <alignment vertical="center"/>
    </xf>
    <xf numFmtId="0" fontId="61" fillId="0" borderId="120" xfId="0" applyFont="1" applyBorder="1" applyAlignment="1">
      <alignment vertical="center"/>
    </xf>
    <xf numFmtId="165" fontId="163" fillId="30" borderId="0" xfId="53" applyFont="1" applyFill="1" applyAlignment="1">
      <alignment horizontal="left" vertical="center" wrapText="1"/>
    </xf>
    <xf numFmtId="165" fontId="163" fillId="30" borderId="120" xfId="53" applyFont="1" applyFill="1" applyBorder="1" applyAlignment="1">
      <alignment horizontal="left" vertical="center" wrapText="1"/>
    </xf>
    <xf numFmtId="0" fontId="61" fillId="30" borderId="120" xfId="0" applyFont="1" applyFill="1" applyBorder="1" applyAlignment="1">
      <alignment vertical="center"/>
    </xf>
    <xf numFmtId="0" fontId="0" fillId="0" borderId="120" xfId="0" applyBorder="1" applyAlignment="1">
      <alignment vertical="center" wrapText="1"/>
    </xf>
    <xf numFmtId="165" fontId="66" fillId="24" borderId="20" xfId="53" applyFont="1" applyFill="1" applyBorder="1" applyAlignment="1">
      <alignment horizontal="center" vertical="center" wrapText="1"/>
    </xf>
    <xf numFmtId="165" fontId="66" fillId="30" borderId="120" xfId="53" applyFont="1" applyFill="1" applyBorder="1" applyAlignment="1">
      <alignment horizontal="center" vertical="center" wrapText="1"/>
    </xf>
    <xf numFmtId="165" fontId="74" fillId="24" borderId="0" xfId="53" applyFont="1" applyFill="1" applyAlignment="1">
      <alignment horizontal="left" vertical="center" wrapText="1"/>
    </xf>
    <xf numFmtId="165" fontId="23" fillId="30" borderId="120" xfId="53" applyFont="1" applyFill="1" applyBorder="1" applyAlignment="1">
      <alignment horizontal="left" vertical="top" wrapText="1"/>
    </xf>
    <xf numFmtId="0" fontId="23" fillId="30" borderId="0" xfId="0" applyFont="1" applyFill="1" applyAlignment="1">
      <alignment horizontal="left" vertical="top" wrapText="1"/>
    </xf>
    <xf numFmtId="0" fontId="23" fillId="30" borderId="120" xfId="0" applyFont="1" applyFill="1" applyBorder="1" applyAlignment="1">
      <alignment horizontal="left" vertical="top" wrapText="1"/>
    </xf>
    <xf numFmtId="0" fontId="121" fillId="0" borderId="31" xfId="0" applyFont="1" applyBorder="1" applyAlignment="1">
      <alignment horizontal="center" vertical="center" wrapText="1"/>
    </xf>
    <xf numFmtId="0" fontId="122" fillId="0" borderId="31" xfId="0" applyFont="1" applyBorder="1" applyAlignment="1">
      <alignment horizontal="left" vertical="center"/>
    </xf>
    <xf numFmtId="0" fontId="122" fillId="0" borderId="0" xfId="0" applyFont="1" applyAlignment="1">
      <alignment horizontal="left" vertical="center"/>
    </xf>
    <xf numFmtId="165" fontId="23" fillId="30" borderId="0" xfId="53" applyFont="1" applyFill="1" applyAlignment="1">
      <alignment vertical="top" wrapText="1"/>
    </xf>
    <xf numFmtId="0" fontId="0" fillId="30" borderId="0" xfId="0" applyFill="1" applyAlignment="1">
      <alignment vertical="top" wrapText="1"/>
    </xf>
    <xf numFmtId="0" fontId="0" fillId="30" borderId="120" xfId="0" applyFill="1" applyBorder="1" applyAlignment="1">
      <alignment vertical="top" wrapText="1"/>
    </xf>
    <xf numFmtId="0" fontId="0" fillId="30" borderId="0" xfId="0" applyFill="1" applyAlignment="1">
      <alignment wrapText="1"/>
    </xf>
    <xf numFmtId="0" fontId="0" fillId="30" borderId="120" xfId="0" applyFill="1" applyBorder="1" applyAlignment="1">
      <alignment wrapText="1"/>
    </xf>
    <xf numFmtId="165" fontId="61" fillId="30" borderId="20" xfId="22" applyNumberFormat="1" applyFont="1" applyFill="1" applyBorder="1" applyAlignment="1" applyProtection="1">
      <alignment horizontal="left" vertical="top" wrapText="1"/>
    </xf>
    <xf numFmtId="0" fontId="61" fillId="30" borderId="0" xfId="0" applyFont="1" applyFill="1" applyAlignment="1">
      <alignment horizontal="left" vertical="top" wrapText="1"/>
    </xf>
    <xf numFmtId="0" fontId="61" fillId="30" borderId="120" xfId="0" applyFont="1" applyFill="1" applyBorder="1" applyAlignment="1">
      <alignment horizontal="left" vertical="top" wrapText="1"/>
    </xf>
    <xf numFmtId="0" fontId="0" fillId="30" borderId="20" xfId="0" applyFill="1" applyBorder="1" applyAlignment="1">
      <alignment horizontal="left" vertical="top" wrapText="1"/>
    </xf>
    <xf numFmtId="0" fontId="0" fillId="30" borderId="0" xfId="0" applyFill="1" applyAlignment="1">
      <alignment horizontal="left" vertical="top" wrapText="1"/>
    </xf>
    <xf numFmtId="0" fontId="0" fillId="30" borderId="120" xfId="0" applyFill="1" applyBorder="1" applyAlignment="1">
      <alignment horizontal="left" vertical="top" wrapText="1"/>
    </xf>
    <xf numFmtId="0" fontId="0" fillId="30" borderId="20" xfId="0" applyFill="1" applyBorder="1" applyAlignment="1">
      <alignment wrapText="1"/>
    </xf>
    <xf numFmtId="165" fontId="165" fillId="24" borderId="120" xfId="53" applyFont="1" applyFill="1" applyBorder="1" applyAlignment="1">
      <alignment horizontal="center" vertical="center" wrapText="1"/>
    </xf>
    <xf numFmtId="0" fontId="23" fillId="0" borderId="0" xfId="0" applyFont="1" applyAlignment="1">
      <alignment horizontal="left" wrapText="1"/>
    </xf>
    <xf numFmtId="0" fontId="23" fillId="0" borderId="120" xfId="0" applyFont="1" applyBorder="1" applyAlignment="1">
      <alignment horizontal="left" wrapText="1"/>
    </xf>
    <xf numFmtId="0" fontId="0" fillId="30" borderId="120" xfId="0" applyFill="1" applyBorder="1" applyAlignment="1">
      <alignment vertical="center" wrapText="1"/>
    </xf>
    <xf numFmtId="0" fontId="0" fillId="0" borderId="120" xfId="0" applyBorder="1" applyAlignment="1">
      <alignment wrapText="1"/>
    </xf>
    <xf numFmtId="0" fontId="61" fillId="0" borderId="0" xfId="0" applyFont="1" applyAlignment="1">
      <alignment horizontal="left" vertical="top" wrapText="1"/>
    </xf>
    <xf numFmtId="0" fontId="61" fillId="0" borderId="120" xfId="0" applyFont="1" applyBorder="1" applyAlignment="1">
      <alignment horizontal="left" vertical="top" wrapText="1"/>
    </xf>
    <xf numFmtId="0" fontId="0" fillId="0" borderId="20" xfId="0" applyBorder="1" applyAlignment="1">
      <alignment horizontal="left" vertical="top" wrapText="1"/>
    </xf>
    <xf numFmtId="0" fontId="0" fillId="0" borderId="0" xfId="0" applyAlignment="1">
      <alignment horizontal="left" vertical="top" wrapText="1"/>
    </xf>
    <xf numFmtId="0" fontId="0" fillId="0" borderId="120" xfId="0" applyBorder="1" applyAlignment="1">
      <alignment horizontal="left" vertical="top" wrapText="1"/>
    </xf>
    <xf numFmtId="0" fontId="0" fillId="0" borderId="20" xfId="0" applyBorder="1" applyAlignment="1">
      <alignment wrapText="1"/>
    </xf>
    <xf numFmtId="0" fontId="129" fillId="0" borderId="20" xfId="0" applyFont="1" applyBorder="1" applyAlignment="1">
      <alignment horizontal="center" vertical="center" wrapText="1"/>
    </xf>
    <xf numFmtId="0" fontId="129" fillId="0" borderId="120" xfId="0" applyFont="1" applyBorder="1" applyAlignment="1">
      <alignment horizontal="center" vertical="center" wrapText="1"/>
    </xf>
    <xf numFmtId="165" fontId="57" fillId="24" borderId="0" xfId="53" applyFont="1" applyFill="1" applyAlignment="1">
      <alignment horizontal="center" vertical="center"/>
    </xf>
    <xf numFmtId="0" fontId="0" fillId="0" borderId="0" xfId="0" applyAlignment="1">
      <alignment horizontal="center" vertical="center"/>
    </xf>
    <xf numFmtId="165" fontId="74" fillId="24" borderId="120" xfId="53" applyFont="1" applyFill="1" applyBorder="1" applyAlignment="1">
      <alignment horizontal="left" vertical="center" wrapText="1"/>
    </xf>
    <xf numFmtId="0" fontId="61" fillId="0" borderId="120" xfId="36" applyFont="1" applyBorder="1" applyAlignment="1">
      <alignment vertical="center"/>
    </xf>
    <xf numFmtId="165" fontId="15" fillId="30" borderId="0" xfId="53" applyFont="1" applyFill="1" applyAlignment="1">
      <alignment vertical="center" wrapText="1"/>
    </xf>
    <xf numFmtId="165" fontId="15" fillId="30" borderId="107" xfId="53" applyFont="1" applyFill="1" applyBorder="1" applyAlignment="1">
      <alignment vertical="center" wrapText="1"/>
    </xf>
    <xf numFmtId="0" fontId="57" fillId="0" borderId="0" xfId="0" applyFont="1" applyAlignment="1">
      <alignment horizontal="center" vertical="center"/>
    </xf>
    <xf numFmtId="165" fontId="108" fillId="24" borderId="0" xfId="53" applyFont="1" applyFill="1" applyAlignment="1">
      <alignment horizontal="center" vertical="center"/>
    </xf>
    <xf numFmtId="0" fontId="109" fillId="0" borderId="0" xfId="0" applyFont="1" applyAlignment="1">
      <alignment horizontal="center" vertical="center"/>
    </xf>
    <xf numFmtId="0" fontId="104" fillId="0" borderId="143" xfId="0" applyFont="1" applyBorder="1" applyAlignment="1">
      <alignment horizontal="center" vertical="center" wrapText="1"/>
    </xf>
    <xf numFmtId="0" fontId="104" fillId="0" borderId="144" xfId="0" applyFont="1" applyBorder="1" applyAlignment="1">
      <alignment horizontal="center" vertical="center" wrapText="1"/>
    </xf>
    <xf numFmtId="0" fontId="104" fillId="0" borderId="91" xfId="0" applyFont="1" applyBorder="1" applyAlignment="1">
      <alignment horizontal="center" vertical="center" wrapText="1"/>
    </xf>
    <xf numFmtId="0" fontId="5" fillId="0" borderId="14" xfId="0" applyFont="1" applyBorder="1" applyAlignment="1">
      <alignment horizontal="center" vertical="center"/>
    </xf>
    <xf numFmtId="0" fontId="5" fillId="0" borderId="78" xfId="0" applyFont="1" applyBorder="1" applyAlignment="1">
      <alignment horizontal="center" vertical="center"/>
    </xf>
    <xf numFmtId="0" fontId="5" fillId="0" borderId="29" xfId="0" applyFont="1" applyBorder="1" applyAlignment="1">
      <alignment horizontal="center" vertical="center"/>
    </xf>
    <xf numFmtId="0" fontId="10" fillId="0" borderId="37" xfId="0" applyFont="1" applyBorder="1" applyAlignment="1">
      <alignment horizontal="center" vertical="center"/>
    </xf>
    <xf numFmtId="0" fontId="10" fillId="0" borderId="110" xfId="0" applyFont="1" applyBorder="1" applyAlignment="1">
      <alignment horizontal="center" vertical="center"/>
    </xf>
    <xf numFmtId="0" fontId="104" fillId="0" borderId="107"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39" xfId="0" applyFont="1" applyBorder="1" applyAlignment="1">
      <alignment horizontal="center" vertical="center" wrapText="1"/>
    </xf>
    <xf numFmtId="0" fontId="9" fillId="0" borderId="0" xfId="0" applyFont="1" applyAlignment="1">
      <alignment vertical="top"/>
    </xf>
    <xf numFmtId="0" fontId="5" fillId="0" borderId="107" xfId="0" applyFont="1" applyBorder="1" applyAlignment="1">
      <alignment horizontal="left" vertical="center" wrapText="1"/>
    </xf>
    <xf numFmtId="0" fontId="28" fillId="24" borderId="52" xfId="0" applyFont="1" applyFill="1" applyBorder="1" applyAlignment="1">
      <alignment horizontal="center" vertical="center" wrapText="1"/>
    </xf>
    <xf numFmtId="0" fontId="28" fillId="24" borderId="53" xfId="0" applyFont="1" applyFill="1" applyBorder="1" applyAlignment="1">
      <alignment horizontal="center" vertical="center" wrapText="1"/>
    </xf>
    <xf numFmtId="0" fontId="28" fillId="24" borderId="47" xfId="0" applyFont="1" applyFill="1" applyBorder="1" applyAlignment="1">
      <alignment horizontal="center" vertical="center" wrapText="1"/>
    </xf>
    <xf numFmtId="0" fontId="28" fillId="24" borderId="31" xfId="0" applyFont="1" applyFill="1" applyBorder="1" applyAlignment="1">
      <alignment horizontal="center" wrapText="1"/>
    </xf>
    <xf numFmtId="0" fontId="28" fillId="24" borderId="73" xfId="0" applyFont="1" applyFill="1" applyBorder="1" applyAlignment="1">
      <alignment horizontal="center" wrapText="1"/>
    </xf>
    <xf numFmtId="0" fontId="28" fillId="24" borderId="60" xfId="0" applyFont="1" applyFill="1" applyBorder="1" applyAlignment="1">
      <alignment horizontal="center" wrapText="1"/>
    </xf>
    <xf numFmtId="0" fontId="28" fillId="24" borderId="56" xfId="0" applyFont="1" applyFill="1" applyBorder="1" applyAlignment="1">
      <alignment horizontal="center" wrapText="1"/>
    </xf>
    <xf numFmtId="0" fontId="19" fillId="24" borderId="31" xfId="0" applyFont="1" applyFill="1" applyBorder="1" applyAlignment="1">
      <alignment horizontal="center" wrapText="1"/>
    </xf>
    <xf numFmtId="0" fontId="28" fillId="24" borderId="31" xfId="0" applyFont="1" applyFill="1" applyBorder="1" applyAlignment="1">
      <alignment horizontal="center" vertical="center" wrapText="1"/>
    </xf>
    <xf numFmtId="0" fontId="28" fillId="24" borderId="60" xfId="0" applyFont="1" applyFill="1" applyBorder="1" applyAlignment="1">
      <alignment horizontal="center" vertical="center" wrapText="1"/>
    </xf>
    <xf numFmtId="0" fontId="28" fillId="24" borderId="75" xfId="0" applyFont="1" applyFill="1" applyBorder="1" applyAlignment="1">
      <alignment horizontal="center" wrapText="1"/>
    </xf>
    <xf numFmtId="0" fontId="7" fillId="24" borderId="0" xfId="0" applyFont="1" applyFill="1" applyAlignment="1">
      <alignment horizontal="left" vertical="center"/>
    </xf>
    <xf numFmtId="0" fontId="28" fillId="24" borderId="94" xfId="0" applyFont="1" applyFill="1" applyBorder="1" applyAlignment="1">
      <alignment horizontal="center" vertical="center" wrapText="1"/>
    </xf>
    <xf numFmtId="0" fontId="28" fillId="24" borderId="51" xfId="0" applyFont="1" applyFill="1" applyBorder="1" applyAlignment="1">
      <alignment horizontal="center" vertical="center" wrapText="1"/>
    </xf>
    <xf numFmtId="0" fontId="28" fillId="24" borderId="92" xfId="0" applyFont="1" applyFill="1" applyBorder="1" applyAlignment="1">
      <alignment horizontal="center" vertical="center" wrapText="1"/>
    </xf>
    <xf numFmtId="0" fontId="28" fillId="24" borderId="75" xfId="0" applyFont="1" applyFill="1" applyBorder="1" applyAlignment="1">
      <alignment horizontal="center" vertical="center" wrapText="1"/>
    </xf>
    <xf numFmtId="0" fontId="28" fillId="24" borderId="73" xfId="0" applyFont="1" applyFill="1" applyBorder="1" applyAlignment="1">
      <alignment horizontal="center" vertical="center" wrapText="1"/>
    </xf>
    <xf numFmtId="0" fontId="7" fillId="0" borderId="0" xfId="0" applyFont="1" applyAlignment="1">
      <alignment horizontal="left" vertical="top" wrapText="1"/>
    </xf>
    <xf numFmtId="0" fontId="28" fillId="0" borderId="107" xfId="0" applyFont="1" applyBorder="1" applyAlignment="1">
      <alignment horizontal="left" vertical="center" wrapText="1"/>
    </xf>
    <xf numFmtId="0" fontId="21" fillId="24" borderId="30" xfId="56" applyFont="1" applyFill="1" applyBorder="1" applyAlignment="1">
      <alignment horizontal="center" vertical="center"/>
    </xf>
    <xf numFmtId="0" fontId="0" fillId="0" borderId="38" xfId="0" applyBorder="1" applyAlignment="1">
      <alignment horizontal="center" vertical="center"/>
    </xf>
    <xf numFmtId="0" fontId="21" fillId="24" borderId="37" xfId="56" applyFont="1" applyFill="1" applyBorder="1" applyAlignment="1">
      <alignment horizontal="center" vertical="center"/>
    </xf>
    <xf numFmtId="0" fontId="13" fillId="24" borderId="33" xfId="57" applyFont="1" applyFill="1" applyBorder="1" applyAlignment="1">
      <alignment horizontal="center" vertical="center"/>
    </xf>
    <xf numFmtId="0" fontId="0" fillId="0" borderId="14" xfId="0" applyBorder="1"/>
    <xf numFmtId="0" fontId="0" fillId="0" borderId="32" xfId="0" applyBorder="1"/>
    <xf numFmtId="0" fontId="21" fillId="24" borderId="30" xfId="56" applyFont="1" applyFill="1" applyBorder="1" applyAlignment="1">
      <alignment horizontal="center" vertical="center" wrapText="1"/>
    </xf>
    <xf numFmtId="0" fontId="21" fillId="24" borderId="39" xfId="56" applyFont="1" applyFill="1" applyBorder="1" applyAlignment="1">
      <alignment horizontal="center" vertical="center" wrapText="1"/>
    </xf>
    <xf numFmtId="0" fontId="22" fillId="0" borderId="16" xfId="0" applyFont="1" applyBorder="1" applyAlignment="1">
      <alignment horizontal="center" vertical="center" wrapText="1"/>
    </xf>
    <xf numFmtId="0" fontId="22" fillId="0" borderId="163" xfId="0" applyFont="1" applyBorder="1" applyAlignment="1">
      <alignment horizontal="center" vertical="center" wrapText="1"/>
    </xf>
    <xf numFmtId="0" fontId="5" fillId="0" borderId="157" xfId="0" applyFont="1" applyBorder="1" applyAlignment="1">
      <alignment horizontal="center" vertical="center"/>
    </xf>
    <xf numFmtId="0" fontId="21" fillId="0" borderId="16" xfId="56" applyFont="1" applyBorder="1" applyAlignment="1">
      <alignment horizontal="center" vertical="center" wrapText="1"/>
    </xf>
    <xf numFmtId="0" fontId="21" fillId="0" borderId="164" xfId="56" applyFont="1" applyBorder="1" applyAlignment="1">
      <alignment horizontal="center" vertical="center" wrapText="1"/>
    </xf>
    <xf numFmtId="0" fontId="21" fillId="0" borderId="95" xfId="56" applyFont="1" applyBorder="1" applyAlignment="1">
      <alignment horizontal="center" vertical="center" wrapText="1"/>
    </xf>
    <xf numFmtId="0" fontId="21" fillId="0" borderId="104" xfId="56" applyFont="1" applyBorder="1" applyAlignment="1">
      <alignment horizontal="center" vertical="center" wrapText="1"/>
    </xf>
    <xf numFmtId="0" fontId="21" fillId="0" borderId="17" xfId="56" applyFont="1" applyBorder="1" applyAlignment="1">
      <alignment horizontal="center" vertical="center" wrapText="1"/>
    </xf>
    <xf numFmtId="0" fontId="21" fillId="0" borderId="122" xfId="56" applyFont="1" applyBorder="1" applyAlignment="1">
      <alignment horizontal="center" vertical="center" wrapText="1"/>
    </xf>
    <xf numFmtId="0" fontId="21" fillId="0" borderId="95" xfId="57" applyFont="1" applyBorder="1" applyAlignment="1">
      <alignment horizontal="center" vertical="center" wrapText="1"/>
    </xf>
    <xf numFmtId="0" fontId="21" fillId="0" borderId="104" xfId="57" applyFont="1" applyBorder="1" applyAlignment="1">
      <alignment horizontal="center" vertical="center" wrapText="1"/>
    </xf>
    <xf numFmtId="0" fontId="21" fillId="0" borderId="30" xfId="57" applyFont="1" applyBorder="1" applyAlignment="1">
      <alignment horizontal="center" vertical="center" wrapText="1"/>
    </xf>
    <xf numFmtId="0" fontId="0" fillId="0" borderId="38" xfId="0" applyBorder="1" applyAlignment="1">
      <alignment horizontal="center" vertical="center" wrapText="1"/>
    </xf>
    <xf numFmtId="0" fontId="21" fillId="0" borderId="16" xfId="57" applyFont="1" applyBorder="1" applyAlignment="1">
      <alignment horizontal="center" vertical="center" wrapText="1"/>
    </xf>
    <xf numFmtId="0" fontId="21" fillId="0" borderId="17" xfId="57" applyFont="1" applyBorder="1" applyAlignment="1">
      <alignment horizontal="center" vertical="center" wrapText="1"/>
    </xf>
    <xf numFmtId="0" fontId="0" fillId="0" borderId="17" xfId="0" applyBorder="1" applyAlignment="1">
      <alignment horizontal="center" vertical="center" wrapText="1"/>
    </xf>
    <xf numFmtId="0" fontId="21" fillId="0" borderId="30" xfId="57" applyFont="1" applyBorder="1" applyAlignment="1">
      <alignment horizontal="center" vertical="center"/>
    </xf>
    <xf numFmtId="0" fontId="0" fillId="0" borderId="39" xfId="0" applyBorder="1" applyAlignment="1">
      <alignment horizontal="center" vertical="center"/>
    </xf>
    <xf numFmtId="0" fontId="21" fillId="0" borderId="95" xfId="57" applyFont="1" applyBorder="1" applyAlignment="1">
      <alignment horizontal="center" vertical="center"/>
    </xf>
    <xf numFmtId="0" fontId="21" fillId="0" borderId="122" xfId="57" applyFont="1" applyBorder="1" applyAlignment="1">
      <alignment horizontal="center" vertical="center"/>
    </xf>
    <xf numFmtId="0" fontId="6" fillId="0" borderId="30" xfId="58" applyFont="1" applyBorder="1" applyAlignment="1">
      <alignment horizontal="center" vertical="center"/>
    </xf>
    <xf numFmtId="0" fontId="6" fillId="0" borderId="38" xfId="58" applyFont="1" applyBorder="1" applyAlignment="1">
      <alignment horizontal="center" vertical="center"/>
    </xf>
    <xf numFmtId="0" fontId="6" fillId="0" borderId="30" xfId="59" applyFont="1" applyBorder="1" applyAlignment="1">
      <alignment horizontal="center" vertical="center"/>
    </xf>
    <xf numFmtId="0" fontId="6" fillId="0" borderId="39" xfId="59" applyFont="1" applyBorder="1" applyAlignment="1">
      <alignment horizontal="center" vertical="center"/>
    </xf>
    <xf numFmtId="0" fontId="6" fillId="0" borderId="38" xfId="59" applyFont="1" applyBorder="1" applyAlignment="1">
      <alignment horizontal="center" vertical="center"/>
    </xf>
    <xf numFmtId="0" fontId="16" fillId="0" borderId="141" xfId="60" applyFont="1" applyBorder="1" applyAlignment="1">
      <alignment horizontal="center" vertical="center" wrapText="1"/>
    </xf>
    <xf numFmtId="0" fontId="16" fillId="0" borderId="23" xfId="60" applyFont="1" applyBorder="1" applyAlignment="1">
      <alignment horizontal="center" vertical="center" wrapText="1"/>
    </xf>
    <xf numFmtId="0" fontId="59" fillId="0" borderId="0" xfId="0" applyFont="1" applyAlignment="1">
      <alignment horizontal="center" wrapText="1"/>
    </xf>
    <xf numFmtId="0" fontId="59" fillId="0" borderId="107" xfId="0" applyFont="1" applyBorder="1" applyAlignment="1">
      <alignment horizontal="center" wrapText="1"/>
    </xf>
    <xf numFmtId="0" fontId="16" fillId="0" borderId="95" xfId="61" applyFont="1" applyBorder="1" applyAlignment="1" applyProtection="1">
      <alignment horizontal="center" vertical="center" wrapText="1"/>
      <protection locked="0"/>
    </xf>
    <xf numFmtId="0" fontId="0" fillId="0" borderId="104" xfId="0" applyBorder="1"/>
    <xf numFmtId="0" fontId="17" fillId="0" borderId="16" xfId="61" applyFont="1" applyBorder="1" applyAlignment="1">
      <alignment horizontal="center" vertical="center" wrapText="1"/>
    </xf>
    <xf numFmtId="0" fontId="16" fillId="0" borderId="16" xfId="61" applyFont="1" applyBorder="1" applyAlignment="1">
      <alignment horizontal="center" vertical="center" wrapText="1"/>
    </xf>
    <xf numFmtId="0" fontId="16" fillId="0" borderId="95" xfId="61" applyFont="1" applyBorder="1" applyAlignment="1">
      <alignment horizontal="center" vertical="center" wrapText="1"/>
    </xf>
    <xf numFmtId="0" fontId="16" fillId="0" borderId="104" xfId="61" applyFont="1" applyBorder="1" applyAlignment="1">
      <alignment horizontal="center" vertical="center" wrapText="1"/>
    </xf>
    <xf numFmtId="0" fontId="100" fillId="0" borderId="16" xfId="0" applyFont="1" applyBorder="1" applyAlignment="1">
      <alignment horizontal="center" vertical="center" wrapText="1"/>
    </xf>
    <xf numFmtId="0" fontId="0" fillId="0" borderId="17" xfId="0" applyBorder="1" applyAlignment="1">
      <alignment vertical="center" wrapText="1"/>
    </xf>
    <xf numFmtId="0" fontId="3" fillId="0" borderId="0" xfId="0" applyFont="1" applyAlignment="1">
      <alignment horizontal="left" wrapText="1"/>
    </xf>
    <xf numFmtId="0" fontId="171" fillId="0" borderId="19" xfId="0" applyFont="1" applyBorder="1" applyAlignment="1">
      <alignment horizontal="left" vertical="center" wrapText="1"/>
    </xf>
    <xf numFmtId="0" fontId="171" fillId="0" borderId="0" xfId="0" applyFont="1" applyAlignment="1">
      <alignment horizontal="left" vertical="center" wrapText="1"/>
    </xf>
    <xf numFmtId="0" fontId="136" fillId="0" borderId="144" xfId="0" applyFont="1" applyBorder="1" applyAlignment="1">
      <alignment horizontal="center"/>
    </xf>
    <xf numFmtId="0" fontId="0" fillId="0" borderId="153" xfId="0" applyBorder="1" applyAlignment="1" applyProtection="1">
      <alignment vertical="top" wrapText="1"/>
      <protection locked="0"/>
    </xf>
    <xf numFmtId="0" fontId="0" fillId="0" borderId="159" xfId="0" applyBorder="1" applyAlignment="1" applyProtection="1">
      <alignment vertical="top" wrapText="1"/>
      <protection locked="0"/>
    </xf>
    <xf numFmtId="0" fontId="0" fillId="0" borderId="142" xfId="0" applyBorder="1" applyAlignment="1" applyProtection="1">
      <alignment vertical="top" wrapText="1"/>
      <protection locked="0"/>
    </xf>
    <xf numFmtId="0" fontId="140" fillId="0" borderId="107" xfId="0" applyFont="1" applyBorder="1" applyAlignment="1">
      <alignment horizontal="center" vertical="center" wrapText="1"/>
    </xf>
    <xf numFmtId="0" fontId="31" fillId="0" borderId="41" xfId="0" applyFont="1" applyBorder="1" applyAlignment="1">
      <alignment horizontal="center"/>
    </xf>
    <xf numFmtId="0" fontId="31" fillId="0" borderId="12" xfId="0" applyFont="1" applyBorder="1" applyAlignment="1">
      <alignment horizontal="center"/>
    </xf>
    <xf numFmtId="0" fontId="31" fillId="0" borderId="25" xfId="0" applyFont="1" applyBorder="1" applyAlignment="1">
      <alignment horizontal="center"/>
    </xf>
    <xf numFmtId="0" fontId="2" fillId="0" borderId="134" xfId="36" applyFont="1" applyBorder="1" applyAlignment="1">
      <alignment horizontal="center" vertical="center" wrapText="1"/>
    </xf>
    <xf numFmtId="0" fontId="2" fillId="0" borderId="150" xfId="36" applyFont="1" applyBorder="1" applyAlignment="1">
      <alignment horizontal="center" vertical="center" wrapText="1"/>
    </xf>
    <xf numFmtId="0" fontId="3" fillId="0" borderId="150" xfId="36" applyFont="1" applyBorder="1" applyAlignment="1">
      <alignment wrapText="1"/>
    </xf>
    <xf numFmtId="0" fontId="3" fillId="0" borderId="155" xfId="36" applyFont="1" applyBorder="1" applyAlignment="1">
      <alignment wrapText="1"/>
    </xf>
    <xf numFmtId="0" fontId="0" fillId="0" borderId="150" xfId="0" applyBorder="1" applyAlignment="1">
      <alignment horizontal="center" vertical="center" wrapText="1"/>
    </xf>
    <xf numFmtId="0" fontId="26" fillId="0" borderId="134" xfId="36" applyFont="1" applyBorder="1" applyAlignment="1">
      <alignment horizontal="center" vertical="center" wrapText="1"/>
    </xf>
    <xf numFmtId="0" fontId="26" fillId="0" borderId="155" xfId="36" applyFont="1" applyBorder="1" applyAlignment="1">
      <alignment horizontal="center" vertical="center" wrapText="1"/>
    </xf>
    <xf numFmtId="165" fontId="26" fillId="0" borderId="134" xfId="54" applyNumberFormat="1" applyFont="1" applyBorder="1" applyAlignment="1">
      <alignment horizontal="center" vertical="center" wrapText="1"/>
    </xf>
    <xf numFmtId="0" fontId="30" fillId="0" borderId="155" xfId="0" applyFont="1" applyBorder="1" applyAlignment="1">
      <alignment vertical="center" wrapText="1"/>
    </xf>
    <xf numFmtId="49" fontId="26" fillId="0" borderId="60" xfId="41" applyNumberFormat="1" applyFont="1" applyBorder="1" applyAlignment="1" applyProtection="1">
      <alignment horizontal="center" vertical="center" wrapText="1"/>
      <protection locked="0"/>
    </xf>
    <xf numFmtId="49" fontId="26" fillId="0" borderId="126" xfId="41" applyNumberFormat="1" applyFont="1" applyBorder="1" applyAlignment="1" applyProtection="1">
      <alignment horizontal="center" vertical="center" wrapText="1"/>
      <protection locked="0"/>
    </xf>
    <xf numFmtId="49" fontId="26" fillId="0" borderId="56" xfId="41" applyNumberFormat="1" applyFont="1" applyBorder="1" applyAlignment="1" applyProtection="1">
      <alignment horizontal="center" vertical="center" wrapText="1"/>
      <protection locked="0"/>
    </xf>
    <xf numFmtId="0" fontId="133" fillId="0" borderId="155" xfId="41" applyBorder="1" applyAlignment="1">
      <alignment horizontal="center" vertical="center" wrapText="1"/>
    </xf>
    <xf numFmtId="165" fontId="2" fillId="0" borderId="134" xfId="54" applyNumberFormat="1" applyFont="1" applyBorder="1" applyAlignment="1">
      <alignment horizontal="center" vertical="center" wrapText="1"/>
    </xf>
    <xf numFmtId="165" fontId="2" fillId="0" borderId="155" xfId="54" applyNumberFormat="1" applyFont="1" applyBorder="1" applyAlignment="1">
      <alignment horizontal="center" vertical="center" wrapText="1"/>
    </xf>
    <xf numFmtId="49" fontId="141" fillId="0" borderId="60" xfId="41" applyNumberFormat="1" applyFont="1" applyBorder="1" applyAlignment="1" applyProtection="1">
      <alignment horizontal="center" vertical="center" wrapText="1"/>
      <protection locked="0"/>
    </xf>
    <xf numFmtId="49" fontId="141" fillId="0" borderId="126" xfId="41" applyNumberFormat="1" applyFont="1" applyBorder="1" applyAlignment="1" applyProtection="1">
      <alignment horizontal="center" vertical="center" wrapText="1"/>
      <protection locked="0"/>
    </xf>
    <xf numFmtId="49" fontId="141" fillId="0" borderId="56" xfId="41" applyNumberFormat="1" applyFont="1" applyBorder="1" applyAlignment="1" applyProtection="1">
      <alignment horizontal="center" vertical="center" wrapText="1"/>
      <protection locked="0"/>
    </xf>
    <xf numFmtId="0" fontId="0" fillId="0" borderId="0" xfId="0"/>
    <xf numFmtId="0" fontId="172" fillId="0" borderId="107" xfId="0" applyFont="1" applyBorder="1" applyAlignment="1">
      <alignment horizontal="right" vertical="top" wrapText="1"/>
    </xf>
    <xf numFmtId="0" fontId="173" fillId="0" borderId="107" xfId="0" applyFont="1" applyBorder="1" applyAlignment="1">
      <alignment horizontal="right"/>
    </xf>
    <xf numFmtId="3" fontId="15" fillId="0" borderId="132" xfId="0" applyNumberFormat="1" applyFont="1" applyBorder="1" applyProtection="1">
      <protection locked="0"/>
    </xf>
    <xf numFmtId="3" fontId="15" fillId="0" borderId="53" xfId="0" applyNumberFormat="1" applyFont="1" applyBorder="1" applyProtection="1">
      <protection locked="0"/>
    </xf>
    <xf numFmtId="0" fontId="15" fillId="0" borderId="133" xfId="0" applyFont="1" applyBorder="1" applyAlignment="1" applyProtection="1">
      <alignment wrapText="1"/>
      <protection locked="0"/>
    </xf>
    <xf numFmtId="0" fontId="15" fillId="0" borderId="165" xfId="0" applyFont="1" applyBorder="1" applyAlignment="1" applyProtection="1">
      <alignment wrapText="1"/>
      <protection locked="0"/>
    </xf>
    <xf numFmtId="3" fontId="15" fillId="0" borderId="47" xfId="0" applyNumberFormat="1" applyFont="1" applyBorder="1" applyProtection="1">
      <protection locked="0"/>
    </xf>
    <xf numFmtId="0" fontId="5" fillId="0" borderId="60" xfId="0" applyFont="1" applyBorder="1" applyAlignment="1">
      <alignment horizontal="center"/>
    </xf>
    <xf numFmtId="0" fontId="5" fillId="0" borderId="126" xfId="0" applyFont="1" applyBorder="1" applyAlignment="1">
      <alignment horizontal="center"/>
    </xf>
    <xf numFmtId="0" fontId="5" fillId="0" borderId="56" xfId="0" applyFont="1" applyBorder="1" applyAlignment="1">
      <alignment horizontal="center"/>
    </xf>
    <xf numFmtId="0" fontId="28" fillId="0" borderId="0" xfId="0" applyFont="1" applyAlignment="1">
      <alignment horizontal="left" vertical="center" wrapText="1"/>
    </xf>
    <xf numFmtId="0" fontId="22" fillId="0" borderId="60" xfId="0" applyFont="1" applyBorder="1" applyAlignment="1">
      <alignment horizontal="center" wrapText="1"/>
    </xf>
    <xf numFmtId="0" fontId="22" fillId="0" borderId="126" xfId="0" applyFont="1" applyBorder="1" applyAlignment="1">
      <alignment horizontal="center" wrapText="1"/>
    </xf>
    <xf numFmtId="0" fontId="22" fillId="0" borderId="56" xfId="0" applyFont="1" applyBorder="1" applyAlignment="1">
      <alignment horizontal="center" wrapText="1"/>
    </xf>
    <xf numFmtId="0" fontId="22" fillId="0" borderId="60" xfId="0" applyFont="1" applyBorder="1" applyAlignment="1">
      <alignment horizontal="center"/>
    </xf>
    <xf numFmtId="0" fontId="22" fillId="0" borderId="126" xfId="0" applyFont="1" applyBorder="1" applyAlignment="1">
      <alignment horizontal="center"/>
    </xf>
    <xf numFmtId="0" fontId="22" fillId="0" borderId="56" xfId="0" applyFont="1" applyBorder="1" applyAlignment="1">
      <alignment horizontal="center"/>
    </xf>
    <xf numFmtId="0" fontId="59" fillId="0" borderId="0" xfId="0" applyFont="1" applyAlignment="1">
      <alignment horizontal="center" vertical="center" wrapText="1"/>
    </xf>
    <xf numFmtId="0" fontId="164" fillId="0" borderId="19" xfId="61" applyFont="1" applyBorder="1" applyAlignment="1">
      <alignment horizontal="center" wrapText="1"/>
    </xf>
    <xf numFmtId="0" fontId="164" fillId="0" borderId="36" xfId="61" applyFont="1" applyBorder="1" applyAlignment="1">
      <alignment horizontal="center" wrapText="1"/>
    </xf>
    <xf numFmtId="0" fontId="23" fillId="0" borderId="10" xfId="0" applyFont="1" applyBorder="1" applyAlignment="1">
      <alignment horizontal="left" wrapText="1"/>
    </xf>
    <xf numFmtId="0" fontId="23" fillId="0" borderId="157" xfId="0" applyFont="1" applyBorder="1" applyAlignment="1">
      <alignment horizontal="left" wrapText="1"/>
    </xf>
    <xf numFmtId="0" fontId="23" fillId="0" borderId="72" xfId="0" applyFont="1" applyBorder="1" applyAlignment="1">
      <alignment horizontal="left" wrapText="1"/>
    </xf>
    <xf numFmtId="0" fontId="13" fillId="0" borderId="135" xfId="0" applyFont="1" applyBorder="1" applyAlignment="1">
      <alignment horizontal="center" vertical="center" wrapText="1"/>
    </xf>
    <xf numFmtId="0" fontId="13" fillId="0" borderId="18" xfId="0" applyFont="1" applyBorder="1" applyAlignment="1">
      <alignment horizontal="center" vertical="center" wrapText="1"/>
    </xf>
    <xf numFmtId="0" fontId="5" fillId="0" borderId="41" xfId="0" applyFont="1" applyBorder="1" applyAlignment="1">
      <alignment horizontal="left" vertical="center"/>
    </xf>
    <xf numFmtId="0" fontId="5" fillId="0" borderId="12" xfId="0" applyFont="1" applyBorder="1" applyAlignment="1">
      <alignment horizontal="left" vertical="center"/>
    </xf>
    <xf numFmtId="0" fontId="28" fillId="0" borderId="114" xfId="0" applyFont="1" applyBorder="1" applyAlignment="1">
      <alignment horizontal="center" vertical="center"/>
    </xf>
    <xf numFmtId="0" fontId="28" fillId="0" borderId="25" xfId="0" applyFont="1" applyBorder="1" applyAlignment="1">
      <alignment horizontal="center" vertical="center"/>
    </xf>
    <xf numFmtId="0" fontId="23" fillId="0" borderId="143" xfId="0" applyFont="1" applyBorder="1" applyAlignment="1">
      <alignment horizontal="left" wrapText="1"/>
    </xf>
    <xf numFmtId="0" fontId="23" fillId="0" borderId="144" xfId="0" applyFont="1" applyBorder="1" applyAlignment="1">
      <alignment horizontal="left" wrapText="1"/>
    </xf>
    <xf numFmtId="0" fontId="23" fillId="0" borderId="91" xfId="0" applyFont="1" applyBorder="1" applyAlignment="1">
      <alignment horizontal="left" wrapText="1"/>
    </xf>
    <xf numFmtId="10" fontId="3" fillId="0" borderId="166" xfId="64" applyNumberFormat="1" applyFont="1" applyBorder="1" applyAlignment="1">
      <alignment horizontal="center" vertical="center" wrapText="1"/>
    </xf>
    <xf numFmtId="10" fontId="3" fillId="0" borderId="150" xfId="64" applyNumberFormat="1" applyFont="1" applyBorder="1" applyAlignment="1">
      <alignment horizontal="center" vertical="center" wrapText="1"/>
    </xf>
    <xf numFmtId="10" fontId="3" fillId="0" borderId="155" xfId="64" applyNumberFormat="1" applyFont="1" applyBorder="1" applyAlignment="1">
      <alignment horizontal="center" vertical="center" wrapText="1"/>
    </xf>
    <xf numFmtId="0" fontId="10" fillId="0" borderId="153" xfId="0" applyFont="1" applyBorder="1" applyAlignment="1">
      <alignment horizontal="right"/>
    </xf>
    <xf numFmtId="0" fontId="10" fillId="0" borderId="159" xfId="0" applyFont="1" applyBorder="1" applyAlignment="1">
      <alignment horizontal="right"/>
    </xf>
    <xf numFmtId="0" fontId="10" fillId="0" borderId="154" xfId="0" applyFont="1" applyBorder="1" applyAlignment="1">
      <alignment horizontal="right"/>
    </xf>
    <xf numFmtId="3" fontId="38" fillId="0" borderId="139" xfId="0" applyNumberFormat="1" applyFont="1" applyBorder="1" applyAlignment="1">
      <alignment horizontal="center"/>
    </xf>
    <xf numFmtId="0" fontId="56" fillId="0" borderId="144" xfId="0" applyFont="1" applyBorder="1"/>
    <xf numFmtId="0" fontId="56" fillId="0" borderId="91" xfId="0" applyFont="1" applyBorder="1"/>
    <xf numFmtId="0" fontId="10" fillId="0" borderId="143" xfId="0" applyFont="1" applyBorder="1" applyAlignment="1">
      <alignment horizontal="center" vertical="center" wrapText="1"/>
    </xf>
    <xf numFmtId="0" fontId="10" fillId="0" borderId="144" xfId="0" applyFont="1" applyBorder="1" applyAlignment="1">
      <alignment horizontal="center" vertical="center" wrapText="1"/>
    </xf>
    <xf numFmtId="0" fontId="10" fillId="0" borderId="91" xfId="0" applyFont="1" applyBorder="1" applyAlignment="1">
      <alignment horizontal="center" vertical="center" wrapText="1"/>
    </xf>
    <xf numFmtId="0" fontId="14" fillId="0" borderId="19" xfId="0" applyFont="1" applyBorder="1" applyAlignment="1">
      <alignment horizontal="center" vertical="center"/>
    </xf>
    <xf numFmtId="0" fontId="14" fillId="0" borderId="0" xfId="0" applyFont="1" applyAlignment="1">
      <alignment horizontal="center" vertical="center"/>
    </xf>
    <xf numFmtId="0" fontId="14" fillId="0" borderId="36" xfId="0" applyFont="1" applyBorder="1" applyAlignment="1">
      <alignment horizontal="center" vertical="center"/>
    </xf>
    <xf numFmtId="0" fontId="14" fillId="0" borderId="15" xfId="0" applyFont="1" applyBorder="1" applyAlignment="1">
      <alignment horizontal="center" vertical="center"/>
    </xf>
    <xf numFmtId="0" fontId="14" fillId="0" borderId="107" xfId="0" applyFont="1" applyBorder="1" applyAlignment="1">
      <alignment horizontal="center" vertical="center"/>
    </xf>
    <xf numFmtId="0" fontId="14" fillId="0" borderId="149" xfId="0" applyFont="1" applyBorder="1" applyAlignment="1">
      <alignment horizontal="center" vertical="center"/>
    </xf>
    <xf numFmtId="0" fontId="14" fillId="0" borderId="10" xfId="0" applyFont="1" applyBorder="1" applyAlignment="1">
      <alignment horizontal="center" vertical="center"/>
    </xf>
    <xf numFmtId="0" fontId="14" fillId="0" borderId="157" xfId="0" applyFont="1" applyBorder="1" applyAlignment="1">
      <alignment horizontal="center" vertical="center"/>
    </xf>
    <xf numFmtId="0" fontId="14" fillId="0" borderId="72" xfId="0" applyFont="1" applyBorder="1" applyAlignment="1">
      <alignment horizontal="center" vertical="center"/>
    </xf>
    <xf numFmtId="0" fontId="14" fillId="0" borderId="143" xfId="0" applyFont="1" applyBorder="1" applyAlignment="1">
      <alignment horizontal="center" vertical="center" wrapText="1"/>
    </xf>
    <xf numFmtId="0" fontId="14" fillId="0" borderId="144" xfId="0" applyFont="1" applyBorder="1" applyAlignment="1">
      <alignment horizontal="center" vertical="center" wrapText="1"/>
    </xf>
    <xf numFmtId="0" fontId="14" fillId="0" borderId="91" xfId="0" applyFont="1" applyBorder="1" applyAlignment="1">
      <alignment horizontal="center" vertical="center" wrapText="1"/>
    </xf>
    <xf numFmtId="0" fontId="14" fillId="0" borderId="143" xfId="0" applyFont="1" applyBorder="1" applyAlignment="1">
      <alignment horizontal="center" vertical="center"/>
    </xf>
    <xf numFmtId="0" fontId="30" fillId="0" borderId="144" xfId="0" applyFont="1" applyBorder="1" applyAlignment="1">
      <alignment horizontal="center" vertical="center"/>
    </xf>
    <xf numFmtId="0" fontId="30" fillId="0" borderId="91" xfId="0" applyFont="1" applyBorder="1" applyAlignment="1">
      <alignment horizontal="center" vertical="center"/>
    </xf>
    <xf numFmtId="0" fontId="30" fillId="0" borderId="157" xfId="0" applyFont="1" applyBorder="1" applyAlignment="1">
      <alignment horizontal="center" vertical="center"/>
    </xf>
    <xf numFmtId="0" fontId="30" fillId="0" borderId="72" xfId="0" applyFont="1" applyBorder="1" applyAlignment="1">
      <alignment horizontal="center" vertical="center"/>
    </xf>
    <xf numFmtId="0" fontId="30" fillId="0" borderId="19" xfId="0" applyFont="1" applyBorder="1" applyAlignment="1">
      <alignment horizontal="center" vertical="center"/>
    </xf>
    <xf numFmtId="0" fontId="30" fillId="0" borderId="0" xfId="0" applyFont="1" applyAlignment="1">
      <alignment horizontal="center" vertical="center"/>
    </xf>
    <xf numFmtId="0" fontId="30" fillId="0" borderId="36" xfId="0" applyFont="1" applyBorder="1" applyAlignment="1">
      <alignment horizontal="center" vertical="center"/>
    </xf>
    <xf numFmtId="0" fontId="30" fillId="0" borderId="15" xfId="0" applyFont="1" applyBorder="1" applyAlignment="1">
      <alignment horizontal="center" vertical="center"/>
    </xf>
    <xf numFmtId="0" fontId="30" fillId="0" borderId="107" xfId="0" applyFont="1" applyBorder="1" applyAlignment="1">
      <alignment horizontal="center" vertical="center"/>
    </xf>
    <xf numFmtId="0" fontId="30" fillId="0" borderId="149" xfId="0" applyFont="1" applyBorder="1" applyAlignment="1">
      <alignment horizontal="center" vertical="center"/>
    </xf>
    <xf numFmtId="0" fontId="14" fillId="0" borderId="144" xfId="0" applyFont="1" applyBorder="1" applyAlignment="1">
      <alignment horizontal="center" vertical="center"/>
    </xf>
    <xf numFmtId="0" fontId="14" fillId="0" borderId="91" xfId="0" applyFont="1" applyBorder="1" applyAlignment="1">
      <alignment horizontal="center" vertical="center"/>
    </xf>
    <xf numFmtId="0" fontId="160" fillId="31" borderId="0" xfId="0" applyFont="1" applyFill="1" applyAlignment="1">
      <alignment horizontal="center"/>
    </xf>
    <xf numFmtId="0" fontId="7" fillId="0" borderId="0" xfId="0" applyFont="1" applyAlignment="1">
      <alignment horizontal="center" vertical="top" wrapText="1"/>
    </xf>
    <xf numFmtId="0" fontId="9" fillId="0" borderId="0" xfId="0" applyFont="1" applyAlignment="1">
      <alignment horizontal="left" wrapText="1"/>
    </xf>
    <xf numFmtId="0" fontId="23" fillId="24" borderId="10" xfId="0" applyFont="1" applyFill="1" applyBorder="1" applyAlignment="1">
      <alignment horizontal="center" vertical="center" wrapText="1"/>
    </xf>
    <xf numFmtId="0" fontId="23" fillId="24" borderId="157" xfId="0" applyFont="1" applyFill="1" applyBorder="1" applyAlignment="1">
      <alignment horizontal="center" vertical="center" wrapText="1"/>
    </xf>
    <xf numFmtId="0" fontId="23" fillId="24" borderId="72" xfId="0" applyFont="1" applyFill="1" applyBorder="1" applyAlignment="1">
      <alignment horizontal="center" vertical="center" wrapText="1"/>
    </xf>
    <xf numFmtId="0" fontId="23" fillId="24" borderId="87" xfId="0" applyFont="1" applyFill="1" applyBorder="1" applyAlignment="1">
      <alignment horizontal="center" vertical="center" wrapText="1"/>
    </xf>
    <xf numFmtId="0" fontId="23" fillId="24" borderId="132" xfId="0" applyFont="1" applyFill="1" applyBorder="1" applyAlignment="1">
      <alignment horizontal="center" vertical="center" wrapText="1"/>
    </xf>
    <xf numFmtId="0" fontId="23" fillId="24" borderId="133" xfId="0" applyFont="1" applyFill="1" applyBorder="1" applyAlignment="1">
      <alignment horizontal="center" vertical="center" wrapText="1"/>
    </xf>
    <xf numFmtId="0" fontId="23" fillId="0" borderId="143" xfId="0" applyFont="1" applyBorder="1" applyAlignment="1">
      <alignment horizontal="left" vertical="top" wrapText="1"/>
    </xf>
    <xf numFmtId="0" fontId="23" fillId="0" borderId="144" xfId="0" applyFont="1" applyBorder="1" applyAlignment="1">
      <alignment horizontal="left" vertical="top" wrapText="1"/>
    </xf>
    <xf numFmtId="0" fontId="23" fillId="0" borderId="91" xfId="0" applyFont="1" applyBorder="1" applyAlignment="1">
      <alignment horizontal="left" vertical="top" wrapText="1"/>
    </xf>
    <xf numFmtId="0" fontId="2" fillId="0" borderId="107" xfId="0" applyFont="1" applyBorder="1" applyAlignment="1">
      <alignment horizontal="center" vertical="top"/>
    </xf>
    <xf numFmtId="0" fontId="23" fillId="0" borderId="74" xfId="0" applyFont="1" applyBorder="1" applyAlignment="1">
      <alignment horizontal="center" wrapText="1"/>
    </xf>
  </cellXfs>
  <cellStyles count="78">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ollegamento ipertestuale" xfId="22" builtinId="8"/>
    <cellStyle name="Colore 1" xfId="23" builtinId="29" customBuiltin="1"/>
    <cellStyle name="Colore 2" xfId="24" builtinId="33" customBuiltin="1"/>
    <cellStyle name="Colore 3" xfId="25" builtinId="37" customBuiltin="1"/>
    <cellStyle name="Colore 4" xfId="26" builtinId="41" customBuiltin="1"/>
    <cellStyle name="Colore 5" xfId="27" builtinId="45" customBuiltin="1"/>
    <cellStyle name="Colore 6" xfId="28" builtinId="49" customBuiltin="1"/>
    <cellStyle name="Euro" xfId="29"/>
    <cellStyle name="Input" xfId="30" builtinId="20" customBuiltin="1"/>
    <cellStyle name="Logico" xfId="31"/>
    <cellStyle name="Migliaia" xfId="32" builtinId="3"/>
    <cellStyle name="Migliaia (0)_3tabella15" xfId="33"/>
    <cellStyle name="Migliaia 2" xfId="34"/>
    <cellStyle name="Neutrale" xfId="35" builtinId="28" customBuiltin="1"/>
    <cellStyle name="Normale" xfId="0" builtinId="0"/>
    <cellStyle name="Normale 2" xfId="36"/>
    <cellStyle name="Normale 2 2" xfId="37"/>
    <cellStyle name="Normale 2 2 2" xfId="38"/>
    <cellStyle name="Normale 2 3" xfId="39"/>
    <cellStyle name="Normale 3" xfId="40"/>
    <cellStyle name="Normale 3 2" xfId="41"/>
    <cellStyle name="Normale 3 3" xfId="42"/>
    <cellStyle name="Normale 4" xfId="43"/>
    <cellStyle name="Normale 4 2" xfId="44"/>
    <cellStyle name="Normale 4 3" xfId="45"/>
    <cellStyle name="Normale 5" xfId="46"/>
    <cellStyle name="Normale 5 2" xfId="47"/>
    <cellStyle name="Normale 6" xfId="48"/>
    <cellStyle name="Normale 8" xfId="49"/>
    <cellStyle name="Normale_ENTI LOCALI  2000" xfId="50"/>
    <cellStyle name="Normale_MINISTERI" xfId="51"/>
    <cellStyle name="Normale_modello si2 raln_MODIFICATO_ALESSIO" xfId="52"/>
    <cellStyle name="Normale_PRINFEL98" xfId="53"/>
    <cellStyle name="Normale_PRINFEL98_modello si2 raln_MODIFICATO_ALESSIO 2" xfId="54"/>
    <cellStyle name="Normale_Prospetto informativo 2001" xfId="55"/>
    <cellStyle name="Normale_tabella 4" xfId="56"/>
    <cellStyle name="Normale_tabella 5" xfId="57"/>
    <cellStyle name="Normale_tabella 6" xfId="58"/>
    <cellStyle name="Normale_tabella 7" xfId="59"/>
    <cellStyle name="Normale_tabella 8" xfId="60"/>
    <cellStyle name="Normale_tabella 9" xfId="61"/>
    <cellStyle name="Nota" xfId="62" builtinId="10" customBuiltin="1"/>
    <cellStyle name="Output" xfId="63" builtinId="21" customBuiltin="1"/>
    <cellStyle name="Percentuale" xfId="64" builtinId="5"/>
    <cellStyle name="Percentuale 2" xfId="65"/>
    <cellStyle name="Percentuale 2 2" xfId="66"/>
    <cellStyle name="Testo avviso" xfId="67" builtinId="11" customBuiltin="1"/>
    <cellStyle name="Testo descrittivo" xfId="68" builtinId="53" customBuiltin="1"/>
    <cellStyle name="Titolo" xfId="69" builtinId="15" customBuiltin="1"/>
    <cellStyle name="Titolo 1" xfId="70" builtinId="16" customBuiltin="1"/>
    <cellStyle name="Titolo 2" xfId="71" builtinId="17" customBuiltin="1"/>
    <cellStyle name="Titolo 3" xfId="72" builtinId="18" customBuiltin="1"/>
    <cellStyle name="Titolo 4" xfId="73" builtinId="19" customBuiltin="1"/>
    <cellStyle name="Totale" xfId="74" builtinId="25" customBuiltin="1"/>
    <cellStyle name="Valore non valido" xfId="75" builtinId="27" customBuiltin="1"/>
    <cellStyle name="Valore valido" xfId="76" builtinId="26" customBuiltin="1"/>
    <cellStyle name="Valuta (0)_3tabella15" xfId="77"/>
  </cellStyles>
  <dxfs count="31">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eetMetadata" Target="metadata.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4313197370288698E-3"/>
          <c:y val="0.19917335278385606"/>
          <c:w val="0.99172935714706101"/>
          <c:h val="0.2738633600778021"/>
        </c:manualLayout>
      </c:layout>
      <c:barChart>
        <c:barDir val="col"/>
        <c:grouping val="clustered"/>
        <c:varyColors val="0"/>
        <c:ser>
          <c:idx val="0"/>
          <c:order val="0"/>
          <c:spPr>
            <a:solidFill>
              <a:srgbClr val="000000"/>
            </a:solidFill>
            <a:ln w="12700">
              <a:solidFill>
                <a:srgbClr val="000000"/>
              </a:solidFill>
              <a:prstDash val="solid"/>
            </a:ln>
          </c:spPr>
          <c:invertIfNegative val="0"/>
          <c:cat>
            <c:strRef>
              <c:f>SI_1!$B$223:$B$242</c:f>
              <c:strCache>
                <c:ptCount val="20"/>
                <c:pt idx="0">
                  <c:v>SI_1A</c:v>
                </c:pt>
                <c:pt idx="1">
                  <c:v>SI_1A_CONV</c:v>
                </c:pt>
                <c:pt idx="2">
                  <c:v>T1</c:v>
                </c:pt>
                <c:pt idx="3">
                  <c:v>T2</c:v>
                </c:pt>
                <c:pt idx="4">
                  <c:v>T2A</c:v>
                </c:pt>
                <c:pt idx="5">
                  <c:v>T3</c:v>
                </c:pt>
                <c:pt idx="6">
                  <c:v>T4</c:v>
                </c:pt>
                <c:pt idx="7">
                  <c:v>T5</c:v>
                </c:pt>
                <c:pt idx="8">
                  <c:v>T6</c:v>
                </c:pt>
                <c:pt idx="9">
                  <c:v>T7</c:v>
                </c:pt>
                <c:pt idx="10">
                  <c:v>T8</c:v>
                </c:pt>
                <c:pt idx="11">
                  <c:v>T9</c:v>
                </c:pt>
                <c:pt idx="12">
                  <c:v>T10</c:v>
                </c:pt>
                <c:pt idx="13">
                  <c:v>T11</c:v>
                </c:pt>
                <c:pt idx="14">
                  <c:v>T12</c:v>
                </c:pt>
                <c:pt idx="15">
                  <c:v>T13</c:v>
                </c:pt>
                <c:pt idx="16">
                  <c:v>T14</c:v>
                </c:pt>
                <c:pt idx="17">
                  <c:v>T15</c:v>
                </c:pt>
                <c:pt idx="18">
                  <c:v>SICI</c:v>
                </c:pt>
                <c:pt idx="19">
                  <c:v>TRC</c:v>
                </c:pt>
              </c:strCache>
            </c:strRef>
          </c:cat>
          <c:val>
            <c:numRef>
              <c:f>SI_1!$C$223:$C$242</c:f>
              <c:numCache>
                <c:formatCode>General</c:formatCode>
                <c:ptCount val="20"/>
                <c:pt idx="0">
                  <c:v>0</c:v>
                </c:pt>
                <c:pt idx="1">
                  <c:v>0</c:v>
                </c:pt>
                <c:pt idx="2">
                  <c:v>1</c:v>
                </c:pt>
                <c:pt idx="3">
                  <c:v>1</c:v>
                </c:pt>
                <c:pt idx="4">
                  <c:v>0</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0</c:v>
                </c:pt>
              </c:numCache>
            </c:numRef>
          </c:val>
          <c:extLst xmlns:c16r2="http://schemas.microsoft.com/office/drawing/2015/06/chart">
            <c:ext xmlns:c16="http://schemas.microsoft.com/office/drawing/2014/chart" uri="{C3380CC4-5D6E-409C-BE32-E72D297353CC}">
              <c16:uniqueId val="{00000000-499E-4FDE-8EFF-5F07302FF969}"/>
            </c:ext>
          </c:extLst>
        </c:ser>
        <c:dLbls>
          <c:showLegendKey val="0"/>
          <c:showVal val="0"/>
          <c:showCatName val="0"/>
          <c:showSerName val="0"/>
          <c:showPercent val="0"/>
          <c:showBubbleSize val="0"/>
        </c:dLbls>
        <c:gapWidth val="150"/>
        <c:axId val="501150200"/>
        <c:axId val="501147456"/>
      </c:barChart>
      <c:catAx>
        <c:axId val="501150200"/>
        <c:scaling>
          <c:orientation val="minMax"/>
        </c:scaling>
        <c:delete val="0"/>
        <c:axPos val="b"/>
        <c:numFmt formatCode="General" sourceLinked="1"/>
        <c:majorTickMark val="out"/>
        <c:minorTickMark val="none"/>
        <c:tickLblPos val="nextTo"/>
        <c:spPr>
          <a:ln w="9525">
            <a:noFill/>
          </a:ln>
        </c:spPr>
        <c:txPr>
          <a:bodyPr rot="0" vert="horz"/>
          <a:lstStyle/>
          <a:p>
            <a:pPr>
              <a:defRPr sz="800" b="1" i="0" u="none" strike="noStrike" baseline="0">
                <a:solidFill>
                  <a:srgbClr val="000000"/>
                </a:solidFill>
                <a:latin typeface="Arial"/>
                <a:ea typeface="Arial"/>
                <a:cs typeface="Arial"/>
              </a:defRPr>
            </a:pPr>
            <a:endParaRPr lang="it-IT"/>
          </a:p>
        </c:txPr>
        <c:crossAx val="501147456"/>
        <c:crossesAt val="0"/>
        <c:auto val="1"/>
        <c:lblAlgn val="ctr"/>
        <c:lblOffset val="100"/>
        <c:tickLblSkip val="1"/>
        <c:tickMarkSkip val="1"/>
        <c:noMultiLvlLbl val="0"/>
      </c:catAx>
      <c:valAx>
        <c:axId val="501147456"/>
        <c:scaling>
          <c:orientation val="minMax"/>
          <c:max val="1"/>
        </c:scaling>
        <c:delete val="1"/>
        <c:axPos val="l"/>
        <c:numFmt formatCode="General" sourceLinked="1"/>
        <c:majorTickMark val="out"/>
        <c:minorTickMark val="none"/>
        <c:tickLblPos val="nextTo"/>
        <c:crossAx val="501150200"/>
        <c:crosses val="autoZero"/>
        <c:crossBetween val="between"/>
        <c:majorUnit val="1"/>
        <c:minorUnit val="0.04"/>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it-IT"/>
    </a:p>
  </c:txPr>
  <c:printSettings>
    <c:headerFooter alignWithMargins="0"/>
    <c:pageMargins b="1" l="0.75" r="0.75" t="1" header="0.5" footer="0.5"/>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877539359256844E-3"/>
          <c:y val="0.26516757520694528"/>
          <c:w val="0.9699115044247788"/>
          <c:h val="0.38947368421052631"/>
        </c:manualLayout>
      </c:layout>
      <c:barChart>
        <c:barDir val="col"/>
        <c:grouping val="clustered"/>
        <c:varyColors val="0"/>
        <c:ser>
          <c:idx val="0"/>
          <c:order val="0"/>
          <c:spPr>
            <a:solidFill>
              <a:srgbClr val="FF0000"/>
            </a:solidFill>
            <a:ln w="12700">
              <a:solidFill>
                <a:srgbClr val="000000"/>
              </a:solidFill>
              <a:prstDash val="solid"/>
            </a:ln>
          </c:spPr>
          <c:invertIfNegative val="0"/>
          <c:cat>
            <c:strRef>
              <c:f>SI_1!$E$223:$E$246</c:f>
              <c:strCache>
                <c:ptCount val="24"/>
                <c:pt idx="0">
                  <c:v>SQ 1</c:v>
                </c:pt>
                <c:pt idx="1">
                  <c:v>SQ 2</c:v>
                </c:pt>
                <c:pt idx="2">
                  <c:v>SQ 3</c:v>
                </c:pt>
                <c:pt idx="3">
                  <c:v>SQ 4</c:v>
                </c:pt>
                <c:pt idx="4">
                  <c:v>SQ 7 (1)</c:v>
                </c:pt>
                <c:pt idx="5">
                  <c:v>SQ 8</c:v>
                </c:pt>
                <c:pt idx="6">
                  <c:v>SQ 9</c:v>
                </c:pt>
                <c:pt idx="7">
                  <c:v>SQ 10</c:v>
                </c:pt>
                <c:pt idx="8">
                  <c:v>IN 1</c:v>
                </c:pt>
                <c:pt idx="9">
                  <c:v>IN 2</c:v>
                </c:pt>
                <c:pt idx="10">
                  <c:v>IN 3</c:v>
                </c:pt>
                <c:pt idx="11">
                  <c:v>IN 4</c:v>
                </c:pt>
                <c:pt idx="12">
                  <c:v>IN 5</c:v>
                </c:pt>
                <c:pt idx="13">
                  <c:v>IN 6</c:v>
                </c:pt>
                <c:pt idx="14">
                  <c:v>IN 7</c:v>
                </c:pt>
                <c:pt idx="15">
                  <c:v>IN 8</c:v>
                </c:pt>
                <c:pt idx="16">
                  <c:v>IN 9</c:v>
                </c:pt>
                <c:pt idx="17">
                  <c:v>IN 10</c:v>
                </c:pt>
                <c:pt idx="18">
                  <c:v>IN 11</c:v>
                </c:pt>
                <c:pt idx="19">
                  <c:v>IN 12</c:v>
                </c:pt>
                <c:pt idx="20">
                  <c:v>IN 13</c:v>
                </c:pt>
                <c:pt idx="21">
                  <c:v>IN 14</c:v>
                </c:pt>
                <c:pt idx="22">
                  <c:v>IN 16</c:v>
                </c:pt>
                <c:pt idx="23">
                  <c:v>IN 17</c:v>
                </c:pt>
              </c:strCache>
            </c:strRef>
          </c:cat>
          <c:val>
            <c:numRef>
              <c:f>SI_1!$F$223:$F$246</c:f>
              <c:numCache>
                <c:formatCode>General</c:formatCode>
                <c:ptCount val="24"/>
                <c:pt idx="0">
                  <c:v>0</c:v>
                </c:pt>
                <c:pt idx="1">
                  <c:v>0</c:v>
                </c:pt>
                <c:pt idx="2">
                  <c:v>0</c:v>
                </c:pt>
                <c:pt idx="3">
                  <c:v>0</c:v>
                </c:pt>
                <c:pt idx="4">
                  <c:v>1</c:v>
                </c:pt>
                <c:pt idx="5">
                  <c:v>0</c:v>
                </c:pt>
                <c:pt idx="6">
                  <c:v>0</c:v>
                </c:pt>
                <c:pt idx="8">
                  <c:v>0</c:v>
                </c:pt>
                <c:pt idx="9">
                  <c:v>0</c:v>
                </c:pt>
                <c:pt idx="10">
                  <c:v>0</c:v>
                </c:pt>
                <c:pt idx="11">
                  <c:v>0</c:v>
                </c:pt>
                <c:pt idx="12">
                  <c:v>0</c:v>
                </c:pt>
                <c:pt idx="13">
                  <c:v>0</c:v>
                </c:pt>
                <c:pt idx="14">
                  <c:v>1</c:v>
                </c:pt>
                <c:pt idx="15">
                  <c:v>1</c:v>
                </c:pt>
                <c:pt idx="16">
                  <c:v>0</c:v>
                </c:pt>
                <c:pt idx="17">
                  <c:v>0</c:v>
                </c:pt>
                <c:pt idx="18">
                  <c:v>0</c:v>
                </c:pt>
                <c:pt idx="19">
                  <c:v>0</c:v>
                </c:pt>
                <c:pt idx="20">
                  <c:v>0</c:v>
                </c:pt>
                <c:pt idx="21">
                  <c:v>0</c:v>
                </c:pt>
                <c:pt idx="22">
                  <c:v>0</c:v>
                </c:pt>
                <c:pt idx="23">
                  <c:v>0</c:v>
                </c:pt>
              </c:numCache>
            </c:numRef>
          </c:val>
          <c:extLst xmlns:c16r2="http://schemas.microsoft.com/office/drawing/2015/06/chart">
            <c:ext xmlns:c16="http://schemas.microsoft.com/office/drawing/2014/chart" uri="{C3380CC4-5D6E-409C-BE32-E72D297353CC}">
              <c16:uniqueId val="{00000000-1781-4DBC-A543-C2A1A56F65D6}"/>
            </c:ext>
          </c:extLst>
        </c:ser>
        <c:dLbls>
          <c:showLegendKey val="0"/>
          <c:showVal val="0"/>
          <c:showCatName val="0"/>
          <c:showSerName val="0"/>
          <c:showPercent val="0"/>
          <c:showBubbleSize val="0"/>
        </c:dLbls>
        <c:gapWidth val="150"/>
        <c:axId val="501149416"/>
        <c:axId val="501150592"/>
      </c:barChart>
      <c:catAx>
        <c:axId val="501149416"/>
        <c:scaling>
          <c:orientation val="minMax"/>
        </c:scaling>
        <c:delete val="0"/>
        <c:axPos val="b"/>
        <c:numFmt formatCode="General" sourceLinked="1"/>
        <c:majorTickMark val="out"/>
        <c:minorTickMark val="none"/>
        <c:tickLblPos val="nextTo"/>
        <c:spPr>
          <a:ln w="9525">
            <a:noFill/>
          </a:ln>
        </c:spPr>
        <c:txPr>
          <a:bodyPr rot="0" vert="horz"/>
          <a:lstStyle/>
          <a:p>
            <a:pPr>
              <a:defRPr sz="700" b="1" i="0" u="none" strike="noStrike" baseline="0">
                <a:solidFill>
                  <a:srgbClr val="000000"/>
                </a:solidFill>
                <a:latin typeface="Arial"/>
                <a:ea typeface="Arial"/>
                <a:cs typeface="Arial"/>
              </a:defRPr>
            </a:pPr>
            <a:endParaRPr lang="it-IT"/>
          </a:p>
        </c:txPr>
        <c:crossAx val="501150592"/>
        <c:crosses val="autoZero"/>
        <c:auto val="1"/>
        <c:lblAlgn val="ctr"/>
        <c:lblOffset val="100"/>
        <c:tickLblSkip val="1"/>
        <c:tickMarkSkip val="1"/>
        <c:noMultiLvlLbl val="0"/>
      </c:catAx>
      <c:valAx>
        <c:axId val="501150592"/>
        <c:scaling>
          <c:orientation val="minMax"/>
        </c:scaling>
        <c:delete val="1"/>
        <c:axPos val="l"/>
        <c:numFmt formatCode="General" sourceLinked="1"/>
        <c:majorTickMark val="out"/>
        <c:minorTickMark val="none"/>
        <c:tickLblPos val="nextTo"/>
        <c:crossAx val="50114941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75" b="0" i="0" u="none" strike="noStrike" baseline="0">
          <a:solidFill>
            <a:srgbClr val="000000"/>
          </a:solidFill>
          <a:latin typeface="Arial"/>
          <a:ea typeface="Arial"/>
          <a:cs typeface="Arial"/>
        </a:defRPr>
      </a:pPr>
      <a:endParaRPr lang="it-IT"/>
    </a:p>
  </c:txPr>
  <c:printSettings>
    <c:headerFooter alignWithMargins="0"/>
    <c:pageMargins b="1" l="0.75" r="0.75" t="1" header="0.5" footer="0.5"/>
    <c:pageSetup paperSize="9" orientation="landscape" horizontalDpi="0" verticalDpi="0"/>
  </c:printSettings>
</c:chartSpace>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Radio" firstButton="1" fmlaLink="$I$102"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Radio" firstButton="1" fmlaLink="$I$104"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firstButton="1" fmlaLink="$I$90"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firstButton="1" fmlaLink="$I$92"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Radio" firstButton="1" fmlaLink="$I$94"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firstButton="1" fmlaLink="$I$98"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firstButton="1" fmlaLink="$I$100"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Radio" firstButton="1" fmlaLink="I47"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GBox" noThreeD="1"/>
</file>

<file path=xl/ctrlProps/ctrlProp12.xml><?xml version="1.0" encoding="utf-8"?>
<formControlPr xmlns="http://schemas.microsoft.com/office/spreadsheetml/2009/9/main" objectType="Radio" firstButton="1" fmlaLink="$I$14" lockText="1" noThreeD="1"/>
</file>

<file path=xl/ctrlProps/ctrlProp120.xml><?xml version="1.0" encoding="utf-8"?>
<formControlPr xmlns="http://schemas.microsoft.com/office/spreadsheetml/2009/9/main" objectType="Radio" firstButton="1" fmlaLink="I49"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GBox" noThreeD="1"/>
</file>

<file path=xl/ctrlProps/ctrlProp123.xml><?xml version="1.0" encoding="utf-8"?>
<formControlPr xmlns="http://schemas.microsoft.com/office/spreadsheetml/2009/9/main" objectType="Radio" firstButton="1" fmlaLink="I52"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Radio" firstButton="1" fmlaLink="$I$162"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GBox" noThreeD="1"/>
</file>

<file path=xl/ctrlProps/ctrlProp129.xml><?xml version="1.0" encoding="utf-8"?>
<formControlPr xmlns="http://schemas.microsoft.com/office/spreadsheetml/2009/9/main" objectType="Radio" firstButton="1" fmlaLink="$I$163" lockText="1" noThreeD="1"/>
</file>

<file path=xl/ctrlProps/ctrlProp13.xml><?xml version="1.0" encoding="utf-8"?>
<formControlPr xmlns="http://schemas.microsoft.com/office/spreadsheetml/2009/9/main" objectType="Radio"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Radio" firstButton="1" fmlaLink="$I$164"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Radio" firstButton="1" fmlaLink="$I$165"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Radio" firstButton="1" fmlaLink="$I$166"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Radio" firstButton="1" fmlaLink="$I$172" lockText="1" noThreeD="1"/>
</file>

<file path=xl/ctrlProps/ctrlProp142.xml><?xml version="1.0" encoding="utf-8"?>
<formControlPr xmlns="http://schemas.microsoft.com/office/spreadsheetml/2009/9/main" objectType="Radio" lockText="1"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Radio" firstButton="1" fmlaLink="I11"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Radio" firstButton="1" fmlaLink="$I$20"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firstButton="1" fmlaLink="$I$116" lockText="1" noThreeD="1"/>
</file>

<file path=xl/ctrlProps/ctrlProp150.xml><?xml version="1.0" encoding="utf-8"?>
<formControlPr xmlns="http://schemas.microsoft.com/office/spreadsheetml/2009/9/main" objectType="Radio" firstButton="1" fmlaLink="$I$22"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Radio" firstButton="1" fmlaLink="$I$32"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firstButton="1" fmlaLink="$I$34"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I47"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Radio" firstButton="1" fmlaLink="I49"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GBox" noThreeD="1"/>
</file>

<file path=xl/ctrlProps/ctrlProp164.xml><?xml version="1.0" encoding="utf-8"?>
<formControlPr xmlns="http://schemas.microsoft.com/office/spreadsheetml/2009/9/main" objectType="Radio" firstButton="1" fmlaLink="I52"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GBox" noThreeD="1"/>
</file>

<file path=xl/ctrlProps/ctrlProp167.xml><?xml version="1.0" encoding="utf-8"?>
<formControlPr xmlns="http://schemas.microsoft.com/office/spreadsheetml/2009/9/main" objectType="Radio" firstButton="1" fmlaLink="$I$162"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70.xml><?xml version="1.0" encoding="utf-8"?>
<formControlPr xmlns="http://schemas.microsoft.com/office/spreadsheetml/2009/9/main" objectType="Radio" firstButton="1" fmlaLink="$I$163"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Radio" firstButton="1" fmlaLink="$I$164" lockText="1" noThreeD="1"/>
</file>

<file path=xl/ctrlProps/ctrlProp174.xml><?xml version="1.0" encoding="utf-8"?>
<formControlPr xmlns="http://schemas.microsoft.com/office/spreadsheetml/2009/9/main" objectType="Radio" lockText="1"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I$165"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GBox" noThreeD="1"/>
</file>

<file path=xl/ctrlProps/ctrlProp179.xml><?xml version="1.0" encoding="utf-8"?>
<formControlPr xmlns="http://schemas.microsoft.com/office/spreadsheetml/2009/9/main" objectType="Radio" firstButton="1" fmlaLink="$I$166" lockText="1" noThreeD="1"/>
</file>

<file path=xl/ctrlProps/ctrlProp18.xml><?xml version="1.0" encoding="utf-8"?>
<formControlPr xmlns="http://schemas.microsoft.com/office/spreadsheetml/2009/9/main" objectType="Radio" firstButton="1" fmlaLink="$I$119" lockText="1" noThreeD="1"/>
</file>

<file path=xl/ctrlProps/ctrlProp180.xml><?xml version="1.0" encoding="utf-8"?>
<formControlPr xmlns="http://schemas.microsoft.com/office/spreadsheetml/2009/9/main" objectType="Radio" lockText="1"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Radio" firstButton="1" fmlaLink="$I$172" lockText="1" noThreeD="1"/>
</file>

<file path=xl/ctrlProps/ctrlProp183.xml><?xml version="1.0" encoding="utf-8"?>
<formControlPr xmlns="http://schemas.microsoft.com/office/spreadsheetml/2009/9/main" objectType="Radio" lockText="1"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Radio" firstButton="1" fmlaLink="$I$7" lockText="1" noThreeD="1"/>
</file>

<file path=xl/ctrlProps/ctrlProp186.xml><?xml version="1.0" encoding="utf-8"?>
<formControlPr xmlns="http://schemas.microsoft.com/office/spreadsheetml/2009/9/main" objectType="Radio" lockText="1"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Radio" firstButton="1" fmlaLink="$I$13" lockText="1" noThreeD="1"/>
</file>

<file path=xl/ctrlProps/ctrlProp189.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190.xml><?xml version="1.0" encoding="utf-8"?>
<formControlPr xmlns="http://schemas.microsoft.com/office/spreadsheetml/2009/9/main" objectType="GBox" noThreeD="1"/>
</file>

<file path=xl/ctrlProps/ctrlProp191.xml><?xml version="1.0" encoding="utf-8"?>
<formControlPr xmlns="http://schemas.microsoft.com/office/spreadsheetml/2009/9/main" objectType="Radio" firstButton="1" fmlaLink="$I$15"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GBox" noThreeD="1"/>
</file>

<file path=xl/ctrlProps/ctrlProp194.xml><?xml version="1.0" encoding="utf-8"?>
<formControlPr xmlns="http://schemas.microsoft.com/office/spreadsheetml/2009/9/main" objectType="Radio" firstButton="1" fmlaLink="$I$17"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GBox" noThreeD="1"/>
</file>

<file path=xl/ctrlProps/ctrlProp197.xml><?xml version="1.0" encoding="utf-8"?>
<formControlPr xmlns="http://schemas.microsoft.com/office/spreadsheetml/2009/9/main" objectType="Radio" firstButton="1" fmlaLink="$I$19"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00.xml><?xml version="1.0" encoding="utf-8"?>
<formControlPr xmlns="http://schemas.microsoft.com/office/spreadsheetml/2009/9/main" objectType="Radio" firstButton="1" fmlaLink="$I$21"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GBox" noThreeD="1"/>
</file>

<file path=xl/ctrlProps/ctrlProp203.xml><?xml version="1.0" encoding="utf-8"?>
<formControlPr xmlns="http://schemas.microsoft.com/office/spreadsheetml/2009/9/main" objectType="Radio" firstButton="1" fmlaLink="$I$23" lockText="1" noThreeD="1"/>
</file>

<file path=xl/ctrlProps/ctrlProp204.xml><?xml version="1.0" encoding="utf-8"?>
<formControlPr xmlns="http://schemas.microsoft.com/office/spreadsheetml/2009/9/main" objectType="Radio" lockText="1" noThreeD="1"/>
</file>

<file path=xl/ctrlProps/ctrlProp205.xml><?xml version="1.0" encoding="utf-8"?>
<formControlPr xmlns="http://schemas.microsoft.com/office/spreadsheetml/2009/9/main" objectType="GBox" noThreeD="1"/>
</file>

<file path=xl/ctrlProps/ctrlProp206.xml><?xml version="1.0" encoding="utf-8"?>
<formControlPr xmlns="http://schemas.microsoft.com/office/spreadsheetml/2009/9/main" objectType="Radio" firstButton="1" fmlaLink="$I$25" lockText="1" noThreeD="1"/>
</file>

<file path=xl/ctrlProps/ctrlProp207.xml><?xml version="1.0" encoding="utf-8"?>
<formControlPr xmlns="http://schemas.microsoft.com/office/spreadsheetml/2009/9/main" objectType="Radio" lockText="1" noThreeD="1"/>
</file>

<file path=xl/ctrlProps/ctrlProp208.xml><?xml version="1.0" encoding="utf-8"?>
<formControlPr xmlns="http://schemas.microsoft.com/office/spreadsheetml/2009/9/main" objectType="GBox" noThreeD="1"/>
</file>

<file path=xl/ctrlProps/ctrlProp209.xml><?xml version="1.0" encoding="utf-8"?>
<formControlPr xmlns="http://schemas.microsoft.com/office/spreadsheetml/2009/9/main" objectType="Radio" firstButton="1" fmlaLink="$I$27" lockText="1" noThreeD="1"/>
</file>

<file path=xl/ctrlProps/ctrlProp21.xml><?xml version="1.0" encoding="utf-8"?>
<formControlPr xmlns="http://schemas.microsoft.com/office/spreadsheetml/2009/9/main" objectType="Radio" firstButton="1" fmlaLink="I64"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GBox" noThreeD="1"/>
</file>

<file path=xl/ctrlProps/ctrlProp212.xml><?xml version="1.0" encoding="utf-8"?>
<formControlPr xmlns="http://schemas.microsoft.com/office/spreadsheetml/2009/9/main" objectType="Radio" firstButton="1" fmlaLink="$I$29"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GBox" noThreeD="1"/>
</file>

<file path=xl/ctrlProps/ctrlProp215.xml><?xml version="1.0" encoding="utf-8"?>
<formControlPr xmlns="http://schemas.microsoft.com/office/spreadsheetml/2009/9/main" objectType="Radio" firstButton="1" fmlaLink="$I$31"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GBox" noThreeD="1"/>
</file>

<file path=xl/ctrlProps/ctrlProp218.xml><?xml version="1.0" encoding="utf-8"?>
<formControlPr xmlns="http://schemas.microsoft.com/office/spreadsheetml/2009/9/main" objectType="Radio" firstButton="1" fmlaLink="$I$33" lockText="1" noThreeD="1"/>
</file>

<file path=xl/ctrlProps/ctrlProp219.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20.xml><?xml version="1.0" encoding="utf-8"?>
<formControlPr xmlns="http://schemas.microsoft.com/office/spreadsheetml/2009/9/main" objectType="GBox"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GBox" noThreeD="1"/>
</file>

<file path=xl/ctrlProps/ctrlProp227.xml><?xml version="1.0" encoding="utf-8"?>
<formControlPr xmlns="http://schemas.microsoft.com/office/spreadsheetml/2009/9/main" objectType="GBox"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GBox" noThreeD="1"/>
</file>

<file path=xl/ctrlProps/ctrlProp24.xml><?xml version="1.0" encoding="utf-8"?>
<formControlPr xmlns="http://schemas.microsoft.com/office/spreadsheetml/2009/9/main" objectType="Radio" firstButton="1" fmlaLink="$I$26" lockText="1"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GBox" noThreeD="1"/>
</file>

<file path=xl/ctrlProps/ctrlProp242.xml><?xml version="1.0" encoding="utf-8"?>
<formControlPr xmlns="http://schemas.microsoft.com/office/spreadsheetml/2009/9/main" objectType="GBox" noThreeD="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GBox" noThreeD="1"/>
</file>

<file path=xl/ctrlProps/ctrlProp245.xml><?xml version="1.0" encoding="utf-8"?>
<formControlPr xmlns="http://schemas.microsoft.com/office/spreadsheetml/2009/9/main" objectType="GBox"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GBox" noThreeD="1"/>
</file>

<file path=xl/ctrlProps/ctrlProp248.xml><?xml version="1.0" encoding="utf-8"?>
<formControlPr xmlns="http://schemas.microsoft.com/office/spreadsheetml/2009/9/main" objectType="GBox" noThreeD="1"/>
</file>

<file path=xl/ctrlProps/ctrlProp249.xml><?xml version="1.0" encoding="utf-8"?>
<formControlPr xmlns="http://schemas.microsoft.com/office/spreadsheetml/2009/9/main" objectType="GBox" noThreeD="1"/>
</file>

<file path=xl/ctrlProps/ctrlProp25.xml><?xml version="1.0" encoding="utf-8"?>
<formControlPr xmlns="http://schemas.microsoft.com/office/spreadsheetml/2009/9/main" objectType="Radio" lockText="1" noThreeD="1"/>
</file>

<file path=xl/ctrlProps/ctrlProp250.xml><?xml version="1.0" encoding="utf-8"?>
<formControlPr xmlns="http://schemas.microsoft.com/office/spreadsheetml/2009/9/main" objectType="GBox" noThreeD="1"/>
</file>

<file path=xl/ctrlProps/ctrlProp251.xml><?xml version="1.0" encoding="utf-8"?>
<formControlPr xmlns="http://schemas.microsoft.com/office/spreadsheetml/2009/9/main" objectType="GBox" noThreeD="1"/>
</file>

<file path=xl/ctrlProps/ctrlProp252.xml><?xml version="1.0" encoding="utf-8"?>
<formControlPr xmlns="http://schemas.microsoft.com/office/spreadsheetml/2009/9/main" objectType="GBox" noThreeD="1"/>
</file>

<file path=xl/ctrlProps/ctrlProp253.xml><?xml version="1.0" encoding="utf-8"?>
<formControlPr xmlns="http://schemas.microsoft.com/office/spreadsheetml/2009/9/main" objectType="GBox" noThreeD="1"/>
</file>

<file path=xl/ctrlProps/ctrlProp254.xml><?xml version="1.0" encoding="utf-8"?>
<formControlPr xmlns="http://schemas.microsoft.com/office/spreadsheetml/2009/9/main" objectType="GBox"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GBox" noThreeD="1"/>
</file>

<file path=xl/ctrlProps/ctrlProp257.xml><?xml version="1.0" encoding="utf-8"?>
<formControlPr xmlns="http://schemas.microsoft.com/office/spreadsheetml/2009/9/main" objectType="GBox" noThreeD="1"/>
</file>

<file path=xl/ctrlProps/ctrlProp258.xml><?xml version="1.0" encoding="utf-8"?>
<formControlPr xmlns="http://schemas.microsoft.com/office/spreadsheetml/2009/9/main" objectType="GBox" noThreeD="1"/>
</file>

<file path=xl/ctrlProps/ctrlProp259.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260.xml><?xml version="1.0" encoding="utf-8"?>
<formControlPr xmlns="http://schemas.microsoft.com/office/spreadsheetml/2009/9/main" objectType="GBox"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GBox" noThreeD="1"/>
</file>

<file path=xl/ctrlProps/ctrlProp263.xml><?xml version="1.0" encoding="utf-8"?>
<formControlPr xmlns="http://schemas.microsoft.com/office/spreadsheetml/2009/9/main" objectType="GBox" noThreeD="1"/>
</file>

<file path=xl/ctrlProps/ctrlProp264.xml><?xml version="1.0" encoding="utf-8"?>
<formControlPr xmlns="http://schemas.microsoft.com/office/spreadsheetml/2009/9/main" objectType="GBox" noThreeD="1"/>
</file>

<file path=xl/ctrlProps/ctrlProp265.xml><?xml version="1.0" encoding="utf-8"?>
<formControlPr xmlns="http://schemas.microsoft.com/office/spreadsheetml/2009/9/main" objectType="GBox" noThreeD="1"/>
</file>

<file path=xl/ctrlProps/ctrlProp266.xml><?xml version="1.0" encoding="utf-8"?>
<formControlPr xmlns="http://schemas.microsoft.com/office/spreadsheetml/2009/9/main" objectType="GBox" noThreeD="1"/>
</file>

<file path=xl/ctrlProps/ctrlProp267.xml><?xml version="1.0" encoding="utf-8"?>
<formControlPr xmlns="http://schemas.microsoft.com/office/spreadsheetml/2009/9/main" objectType="GBox" noThreeD="1"/>
</file>

<file path=xl/ctrlProps/ctrlProp268.xml><?xml version="1.0" encoding="utf-8"?>
<formControlPr xmlns="http://schemas.microsoft.com/office/spreadsheetml/2009/9/main" objectType="Radio" firstButton="1" fmlaLink="$I$39" lockText="1" noThreeD="1"/>
</file>

<file path=xl/ctrlProps/ctrlProp269.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firstButton="1" fmlaLink="$I$125" lockText="1" noThreeD="1"/>
</file>

<file path=xl/ctrlProps/ctrlProp270.xml><?xml version="1.0" encoding="utf-8"?>
<formControlPr xmlns="http://schemas.microsoft.com/office/spreadsheetml/2009/9/main" objectType="Radio" firstButton="1" fmlaLink="$I$45" lockText="1" noThreeD="1"/>
</file>

<file path=xl/ctrlProps/ctrlProp271.xml><?xml version="1.0" encoding="utf-8"?>
<formControlPr xmlns="http://schemas.microsoft.com/office/spreadsheetml/2009/9/main" objectType="Radio" lockText="1" noThreeD="1"/>
</file>

<file path=xl/ctrlProps/ctrlProp272.xml><?xml version="1.0" encoding="utf-8"?>
<formControlPr xmlns="http://schemas.microsoft.com/office/spreadsheetml/2009/9/main" objectType="Radio" firstButton="1" fmlaLink="$I$47" lockText="1" noThreeD="1"/>
</file>

<file path=xl/ctrlProps/ctrlProp273.xml><?xml version="1.0" encoding="utf-8"?>
<formControlPr xmlns="http://schemas.microsoft.com/office/spreadsheetml/2009/9/main" objectType="Radio" lockText="1" noThreeD="1"/>
</file>

<file path=xl/ctrlProps/ctrlProp274.xml><?xml version="1.0" encoding="utf-8"?>
<formControlPr xmlns="http://schemas.microsoft.com/office/spreadsheetml/2009/9/main" objectType="Radio" firstButton="1" fmlaLink="$I$49"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firstButton="1" fmlaLink="$I$51" lockText="1" noThreeD="1"/>
</file>

<file path=xl/ctrlProps/ctrlProp277.xml><?xml version="1.0" encoding="utf-8"?>
<formControlPr xmlns="http://schemas.microsoft.com/office/spreadsheetml/2009/9/main" objectType="Radio" lockText="1" noThreeD="1"/>
</file>

<file path=xl/ctrlProps/ctrlProp278.xml><?xml version="1.0" encoding="utf-8"?>
<formControlPr xmlns="http://schemas.microsoft.com/office/spreadsheetml/2009/9/main" objectType="Radio" firstButton="1" fmlaLink="$I$53" lockText="1" noThreeD="1"/>
</file>

<file path=xl/ctrlProps/ctrlProp279.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80.xml><?xml version="1.0" encoding="utf-8"?>
<formControlPr xmlns="http://schemas.microsoft.com/office/spreadsheetml/2009/9/main" objectType="Radio" firstButton="1" fmlaLink="$I$55" lockText="1" noThreeD="1"/>
</file>

<file path=xl/ctrlProps/ctrlProp281.xml><?xml version="1.0" encoding="utf-8"?>
<formControlPr xmlns="http://schemas.microsoft.com/office/spreadsheetml/2009/9/main" objectType="Radio" lockText="1" noThreeD="1"/>
</file>

<file path=xl/ctrlProps/ctrlProp282.xml><?xml version="1.0" encoding="utf-8"?>
<formControlPr xmlns="http://schemas.microsoft.com/office/spreadsheetml/2009/9/main" objectType="Radio" firstButton="1" fmlaLink="$I$57" lockText="1" noThreeD="1"/>
</file>

<file path=xl/ctrlProps/ctrlProp283.xml><?xml version="1.0" encoding="utf-8"?>
<formControlPr xmlns="http://schemas.microsoft.com/office/spreadsheetml/2009/9/main" objectType="Radio" lockText="1" noThreeD="1"/>
</file>

<file path=xl/ctrlProps/ctrlProp284.xml><?xml version="1.0" encoding="utf-8"?>
<formControlPr xmlns="http://schemas.microsoft.com/office/spreadsheetml/2009/9/main" objectType="Radio" firstButton="1" fmlaLink="$I$59" lockText="1" noThreeD="1"/>
</file>

<file path=xl/ctrlProps/ctrlProp285.xml><?xml version="1.0" encoding="utf-8"?>
<formControlPr xmlns="http://schemas.microsoft.com/office/spreadsheetml/2009/9/main" objectType="Radio" lockText="1" noThreeD="1"/>
</file>

<file path=xl/ctrlProps/ctrlProp286.xml><?xml version="1.0" encoding="utf-8"?>
<formControlPr xmlns="http://schemas.microsoft.com/office/spreadsheetml/2009/9/main" objectType="Radio" firstButton="1" fmlaLink="$I$61" lockText="1" noThreeD="1"/>
</file>

<file path=xl/ctrlProps/ctrlProp287.xml><?xml version="1.0" encoding="utf-8"?>
<formControlPr xmlns="http://schemas.microsoft.com/office/spreadsheetml/2009/9/main" objectType="Radio" lockText="1" noThreeD="1"/>
</file>

<file path=xl/ctrlProps/ctrlProp288.xml><?xml version="1.0" encoding="utf-8"?>
<formControlPr xmlns="http://schemas.microsoft.com/office/spreadsheetml/2009/9/main" objectType="Radio" firstButton="1" fmlaLink="$I$63" lockText="1" noThreeD="1"/>
</file>

<file path=xl/ctrlProps/ctrlProp289.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GBox" noThreeD="1"/>
</file>

<file path=xl/ctrlProps/ctrlProp290.xml><?xml version="1.0" encoding="utf-8"?>
<formControlPr xmlns="http://schemas.microsoft.com/office/spreadsheetml/2009/9/main" objectType="Radio" firstButton="1" fmlaLink="$I$65" lockText="1" noThreeD="1"/>
</file>

<file path=xl/ctrlProps/ctrlProp291.xml><?xml version="1.0" encoding="utf-8"?>
<formControlPr xmlns="http://schemas.microsoft.com/office/spreadsheetml/2009/9/main" objectType="Radio" lockText="1" noThreeD="1"/>
</file>

<file path=xl/ctrlProps/ctrlProp292.xml><?xml version="1.0" encoding="utf-8"?>
<formControlPr xmlns="http://schemas.microsoft.com/office/spreadsheetml/2009/9/main" objectType="Radio" firstButton="1" fmlaLink="$I$71" lockText="1" noThreeD="1"/>
</file>

<file path=xl/ctrlProps/ctrlProp293.xml><?xml version="1.0" encoding="utf-8"?>
<formControlPr xmlns="http://schemas.microsoft.com/office/spreadsheetml/2009/9/main" objectType="Radio" lockText="1" noThreeD="1"/>
</file>

<file path=xl/ctrlProps/ctrlProp294.xml><?xml version="1.0" encoding="utf-8"?>
<formControlPr xmlns="http://schemas.microsoft.com/office/spreadsheetml/2009/9/main" objectType="Radio" firstButton="1" fmlaLink="$I$77"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firstButton="1" fmlaLink="$I$79" lockText="1" noThreeD="1"/>
</file>

<file path=xl/ctrlProps/ctrlProp297.xml><?xml version="1.0" encoding="utf-8"?>
<formControlPr xmlns="http://schemas.microsoft.com/office/spreadsheetml/2009/9/main" objectType="Radio" lockText="1" noThreeD="1"/>
</file>

<file path=xl/ctrlProps/ctrlProp298.xml><?xml version="1.0" encoding="utf-8"?>
<formControlPr xmlns="http://schemas.microsoft.com/office/spreadsheetml/2009/9/main" objectType="Radio" firstButton="1" fmlaLink="$I$81" lockText="1" noThreeD="1"/>
</file>

<file path=xl/ctrlProps/ctrlProp29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firstButton="1" fmlaLink="$I$20" lockText="1" noThreeD="1"/>
</file>

<file path=xl/ctrlProps/ctrlProp30.xml><?xml version="1.0" encoding="utf-8"?>
<formControlPr xmlns="http://schemas.microsoft.com/office/spreadsheetml/2009/9/main" objectType="Radio" firstButton="1" fmlaLink="I47" lockText="1" noThreeD="1"/>
</file>

<file path=xl/ctrlProps/ctrlProp300.xml><?xml version="1.0" encoding="utf-8"?>
<formControlPr xmlns="http://schemas.microsoft.com/office/spreadsheetml/2009/9/main" objectType="Radio" firstButton="1" fmlaLink="$I$83" lockText="1" noThreeD="1"/>
</file>

<file path=xl/ctrlProps/ctrlProp301.xml><?xml version="1.0" encoding="utf-8"?>
<formControlPr xmlns="http://schemas.microsoft.com/office/spreadsheetml/2009/9/main" objectType="Radio" lockText="1" noThreeD="1"/>
</file>

<file path=xl/ctrlProps/ctrlProp302.xml><?xml version="1.0" encoding="utf-8"?>
<formControlPr xmlns="http://schemas.microsoft.com/office/spreadsheetml/2009/9/main" objectType="Radio" firstButton="1" fmlaLink="$I$85" lockText="1" noThreeD="1"/>
</file>

<file path=xl/ctrlProps/ctrlProp303.xml><?xml version="1.0" encoding="utf-8"?>
<formControlPr xmlns="http://schemas.microsoft.com/office/spreadsheetml/2009/9/main" objectType="Radio" lockText="1" noThreeD="1"/>
</file>

<file path=xl/ctrlProps/ctrlProp304.xml><?xml version="1.0" encoding="utf-8"?>
<formControlPr xmlns="http://schemas.microsoft.com/office/spreadsheetml/2009/9/main" objectType="Radio" firstButton="1" fmlaLink="$I$87" lockText="1" noThreeD="1"/>
</file>

<file path=xl/ctrlProps/ctrlProp305.xml><?xml version="1.0" encoding="utf-8"?>
<formControlPr xmlns="http://schemas.microsoft.com/office/spreadsheetml/2009/9/main" objectType="Radio" lockText="1" noThreeD="1"/>
</file>

<file path=xl/ctrlProps/ctrlProp306.xml><?xml version="1.0" encoding="utf-8"?>
<formControlPr xmlns="http://schemas.microsoft.com/office/spreadsheetml/2009/9/main" objectType="Radio" firstButton="1" fmlaLink="$I$89" lockText="1" noThreeD="1"/>
</file>

<file path=xl/ctrlProps/ctrlProp307.xml><?xml version="1.0" encoding="utf-8"?>
<formControlPr xmlns="http://schemas.microsoft.com/office/spreadsheetml/2009/9/main" objectType="Radio" lockText="1" noThreeD="1"/>
</file>

<file path=xl/ctrlProps/ctrlProp308.xml><?xml version="1.0" encoding="utf-8"?>
<formControlPr xmlns="http://schemas.microsoft.com/office/spreadsheetml/2009/9/main" objectType="Radio" firstButton="1" fmlaLink="$I$91" lockText="1" noThreeD="1"/>
</file>

<file path=xl/ctrlProps/ctrlProp309.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10.xml><?xml version="1.0" encoding="utf-8"?>
<formControlPr xmlns="http://schemas.microsoft.com/office/spreadsheetml/2009/9/main" objectType="Radio" firstButton="1" fmlaLink="$I$93" lockText="1" noThreeD="1"/>
</file>

<file path=xl/ctrlProps/ctrlProp311.xml><?xml version="1.0" encoding="utf-8"?>
<formControlPr xmlns="http://schemas.microsoft.com/office/spreadsheetml/2009/9/main" objectType="Radio" lockText="1" noThreeD="1"/>
</file>

<file path=xl/ctrlProps/ctrlProp312.xml><?xml version="1.0" encoding="utf-8"?>
<formControlPr xmlns="http://schemas.microsoft.com/office/spreadsheetml/2009/9/main" objectType="Radio" firstButton="1" fmlaLink="$I$95"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firstButton="1" fmlaLink="$I$97" lockText="1" noThreeD="1"/>
</file>

<file path=xl/ctrlProps/ctrlProp315.xml><?xml version="1.0" encoding="utf-8"?>
<formControlPr xmlns="http://schemas.microsoft.com/office/spreadsheetml/2009/9/main" objectType="Radio" lockText="1" noThreeD="1"/>
</file>

<file path=xl/ctrlProps/ctrlProp316.xml><?xml version="1.0" encoding="utf-8"?>
<formControlPr xmlns="http://schemas.microsoft.com/office/spreadsheetml/2009/9/main" objectType="Radio" firstButton="1" fmlaLink="$I$103" lockText="1" noThreeD="1"/>
</file>

<file path=xl/ctrlProps/ctrlProp317.xml><?xml version="1.0" encoding="utf-8"?>
<formControlPr xmlns="http://schemas.microsoft.com/office/spreadsheetml/2009/9/main" objectType="Radio" lockText="1" noThreeD="1"/>
</file>

<file path=xl/ctrlProps/ctrlProp318.xml><?xml version="1.0" encoding="utf-8"?>
<formControlPr xmlns="http://schemas.microsoft.com/office/spreadsheetml/2009/9/main" objectType="Radio" firstButton="1" fmlaLink="$I$109" lockText="1" noThreeD="1"/>
</file>

<file path=xl/ctrlProps/ctrlProp319.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GBox" noThreeD="1"/>
</file>

<file path=xl/ctrlProps/ctrlProp320.xml><?xml version="1.0" encoding="utf-8"?>
<formControlPr xmlns="http://schemas.microsoft.com/office/spreadsheetml/2009/9/main" objectType="Radio" firstButton="1" fmlaLink="$I$111" lockText="1" noThreeD="1"/>
</file>

<file path=xl/ctrlProps/ctrlProp321.xml><?xml version="1.0" encoding="utf-8"?>
<formControlPr xmlns="http://schemas.microsoft.com/office/spreadsheetml/2009/9/main" objectType="Radio" lockText="1" noThreeD="1"/>
</file>

<file path=xl/ctrlProps/ctrlProp322.xml><?xml version="1.0" encoding="utf-8"?>
<formControlPr xmlns="http://schemas.microsoft.com/office/spreadsheetml/2009/9/main" objectType="Radio" firstButton="1" fmlaLink="$I$113" lockText="1" noThreeD="1"/>
</file>

<file path=xl/ctrlProps/ctrlProp323.xml><?xml version="1.0" encoding="utf-8"?>
<formControlPr xmlns="http://schemas.microsoft.com/office/spreadsheetml/2009/9/main" objectType="Radio" lockText="1" noThreeD="1"/>
</file>

<file path=xl/ctrlProps/ctrlProp324.xml><?xml version="1.0" encoding="utf-8"?>
<formControlPr xmlns="http://schemas.microsoft.com/office/spreadsheetml/2009/9/main" objectType="Radio" firstButton="1" fmlaLink="$I$115" lockText="1" noThreeD="1"/>
</file>

<file path=xl/ctrlProps/ctrlProp325.xml><?xml version="1.0" encoding="utf-8"?>
<formControlPr xmlns="http://schemas.microsoft.com/office/spreadsheetml/2009/9/main" objectType="Radio" lockText="1" noThreeD="1"/>
</file>

<file path=xl/ctrlProps/ctrlProp326.xml><?xml version="1.0" encoding="utf-8"?>
<formControlPr xmlns="http://schemas.microsoft.com/office/spreadsheetml/2009/9/main" objectType="Radio" firstButton="1" fmlaLink="$I$117" lockText="1" noThreeD="1"/>
</file>

<file path=xl/ctrlProps/ctrlProp327.xml><?xml version="1.0" encoding="utf-8"?>
<formControlPr xmlns="http://schemas.microsoft.com/office/spreadsheetml/2009/9/main" objectType="Radio" lockText="1" noThreeD="1"/>
</file>

<file path=xl/ctrlProps/ctrlProp328.xml><?xml version="1.0" encoding="utf-8"?>
<formControlPr xmlns="http://schemas.microsoft.com/office/spreadsheetml/2009/9/main" objectType="Radio" firstButton="1" fmlaLink="$I$119" lockText="1" noThreeD="1"/>
</file>

<file path=xl/ctrlProps/ctrlProp329.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firstButton="1" fmlaLink="I49" lockText="1" noThreeD="1"/>
</file>

<file path=xl/ctrlProps/ctrlProp330.xml><?xml version="1.0" encoding="utf-8"?>
<formControlPr xmlns="http://schemas.microsoft.com/office/spreadsheetml/2009/9/main" objectType="Radio" firstButton="1" fmlaLink="$I$121" lockText="1" noThreeD="1"/>
</file>

<file path=xl/ctrlProps/ctrlProp331.xml><?xml version="1.0" encoding="utf-8"?>
<formControlPr xmlns="http://schemas.microsoft.com/office/spreadsheetml/2009/9/main" objectType="Radio" lockText="1" noThreeD="1"/>
</file>

<file path=xl/ctrlProps/ctrlProp332.xml><?xml version="1.0" encoding="utf-8"?>
<formControlPr xmlns="http://schemas.microsoft.com/office/spreadsheetml/2009/9/main" objectType="Radio" firstButton="1" fmlaLink="$I$123" lockText="1" noThreeD="1"/>
</file>

<file path=xl/ctrlProps/ctrlProp333.xml><?xml version="1.0" encoding="utf-8"?>
<formControlPr xmlns="http://schemas.microsoft.com/office/spreadsheetml/2009/9/main" objectType="Radio" lockText="1" noThreeD="1"/>
</file>

<file path=xl/ctrlProps/ctrlProp334.xml><?xml version="1.0" encoding="utf-8"?>
<formControlPr xmlns="http://schemas.microsoft.com/office/spreadsheetml/2009/9/main" objectType="Radio" firstButton="1" fmlaLink="$I$125" lockText="1" noThreeD="1"/>
</file>

<file path=xl/ctrlProps/ctrlProp335.xml><?xml version="1.0" encoding="utf-8"?>
<formControlPr xmlns="http://schemas.microsoft.com/office/spreadsheetml/2009/9/main" objectType="Radio" lockText="1" noThreeD="1"/>
</file>

<file path=xl/ctrlProps/ctrlProp336.xml><?xml version="1.0" encoding="utf-8"?>
<formControlPr xmlns="http://schemas.microsoft.com/office/spreadsheetml/2009/9/main" objectType="Radio" firstButton="1" fmlaLink="$I$127" lockText="1" noThreeD="1"/>
</file>

<file path=xl/ctrlProps/ctrlProp337.xml><?xml version="1.0" encoding="utf-8"?>
<formControlPr xmlns="http://schemas.microsoft.com/office/spreadsheetml/2009/9/main" objectType="Radio" lockText="1" noThreeD="1"/>
</file>

<file path=xl/ctrlProps/ctrlProp338.xml><?xml version="1.0" encoding="utf-8"?>
<formControlPr xmlns="http://schemas.microsoft.com/office/spreadsheetml/2009/9/main" objectType="Radio" firstButton="1" fmlaLink="$I$129"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40.xml><?xml version="1.0" encoding="utf-8"?>
<formControlPr xmlns="http://schemas.microsoft.com/office/spreadsheetml/2009/9/main" objectType="Radio" firstButton="1" fmlaLink="$I$135"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firstButton="1" fmlaLink="$I$141" lockText="1" noThreeD="1"/>
</file>

<file path=xl/ctrlProps/ctrlProp343.xml><?xml version="1.0" encoding="utf-8"?>
<formControlPr xmlns="http://schemas.microsoft.com/office/spreadsheetml/2009/9/main" objectType="Radio" lockText="1" noThreeD="1"/>
</file>

<file path=xl/ctrlProps/ctrlProp344.xml><?xml version="1.0" encoding="utf-8"?>
<formControlPr xmlns="http://schemas.microsoft.com/office/spreadsheetml/2009/9/main" objectType="Radio" firstButton="1" fmlaLink="$I$143" lockText="1" noThreeD="1"/>
</file>

<file path=xl/ctrlProps/ctrlProp345.xml><?xml version="1.0" encoding="utf-8"?>
<formControlPr xmlns="http://schemas.microsoft.com/office/spreadsheetml/2009/9/main" objectType="Radio" lockText="1" noThreeD="1"/>
</file>

<file path=xl/ctrlProps/ctrlProp346.xml><?xml version="1.0" encoding="utf-8"?>
<formControlPr xmlns="http://schemas.microsoft.com/office/spreadsheetml/2009/9/main" objectType="Radio" firstButton="1" fmlaLink="$I$145"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firstButton="1" fmlaLink="$I$147" lockText="1" noThreeD="1"/>
</file>

<file path=xl/ctrlProps/ctrlProp349.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GBox" noThreeD="1"/>
</file>

<file path=xl/ctrlProps/ctrlProp350.xml><?xml version="1.0" encoding="utf-8"?>
<formControlPr xmlns="http://schemas.microsoft.com/office/spreadsheetml/2009/9/main" objectType="Radio" firstButton="1" fmlaLink="$I$149" lockText="1" noThreeD="1"/>
</file>

<file path=xl/ctrlProps/ctrlProp351.xml><?xml version="1.0" encoding="utf-8"?>
<formControlPr xmlns="http://schemas.microsoft.com/office/spreadsheetml/2009/9/main" objectType="Radio" lockText="1" noThreeD="1"/>
</file>

<file path=xl/ctrlProps/ctrlProp352.xml><?xml version="1.0" encoding="utf-8"?>
<formControlPr xmlns="http://schemas.microsoft.com/office/spreadsheetml/2009/9/main" objectType="Radio" firstButton="1" fmlaLink="$I$151" lockText="1" noThreeD="1"/>
</file>

<file path=xl/ctrlProps/ctrlProp353.xml><?xml version="1.0" encoding="utf-8"?>
<formControlPr xmlns="http://schemas.microsoft.com/office/spreadsheetml/2009/9/main" objectType="Radio" lockText="1" noThreeD="1"/>
</file>

<file path=xl/ctrlProps/ctrlProp354.xml><?xml version="1.0" encoding="utf-8"?>
<formControlPr xmlns="http://schemas.microsoft.com/office/spreadsheetml/2009/9/main" objectType="Radio" firstButton="1" fmlaLink="$I$153" lockText="1" noThreeD="1"/>
</file>

<file path=xl/ctrlProps/ctrlProp355.xml><?xml version="1.0" encoding="utf-8"?>
<formControlPr xmlns="http://schemas.microsoft.com/office/spreadsheetml/2009/9/main" objectType="Radio" lockText="1" noThreeD="1"/>
</file>

<file path=xl/ctrlProps/ctrlProp356.xml><?xml version="1.0" encoding="utf-8"?>
<formControlPr xmlns="http://schemas.microsoft.com/office/spreadsheetml/2009/9/main" objectType="Radio" firstButton="1" fmlaLink="$I$155"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I$157"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firstButton="1" fmlaLink="I52" lockText="1" noThreeD="1"/>
</file>

<file path=xl/ctrlProps/ctrlProp360.xml><?xml version="1.0" encoding="utf-8"?>
<formControlPr xmlns="http://schemas.microsoft.com/office/spreadsheetml/2009/9/main" objectType="Radio" firstButton="1" fmlaLink="$I$159" lockText="1" noThreeD="1"/>
</file>

<file path=xl/ctrlProps/ctrlProp361.xml><?xml version="1.0" encoding="utf-8"?>
<formControlPr xmlns="http://schemas.microsoft.com/office/spreadsheetml/2009/9/main" objectType="Radio" lockText="1" noThreeD="1"/>
</file>

<file path=xl/ctrlProps/ctrlProp362.xml><?xml version="1.0" encoding="utf-8"?>
<formControlPr xmlns="http://schemas.microsoft.com/office/spreadsheetml/2009/9/main" objectType="Radio" firstButton="1" fmlaLink="$I$161" lockText="1" noThreeD="1"/>
</file>

<file path=xl/ctrlProps/ctrlProp363.xml><?xml version="1.0" encoding="utf-8"?>
<formControlPr xmlns="http://schemas.microsoft.com/office/spreadsheetml/2009/9/main" objectType="Radio" lockText="1" noThreeD="1"/>
</file>

<file path=xl/ctrlProps/ctrlProp364.xml><?xml version="1.0" encoding="utf-8"?>
<formControlPr xmlns="http://schemas.microsoft.com/office/spreadsheetml/2009/9/main" objectType="Drop" dropStyle="combo" dx="26" fmlaLink="$AK$3" fmlaRange="$AK$1:$AK$2" noThreeD="1" sel="2" val="0"/>
</file>

<file path=xl/ctrlProps/ctrlProp365.xml><?xml version="1.0" encoding="utf-8"?>
<formControlPr xmlns="http://schemas.microsoft.com/office/spreadsheetml/2009/9/main" objectType="Drop" dropStyle="combo" dx="26" fmlaLink="$G$22" fmlaRange="$G$20:$G$21" noThreeD="1" sel="2" val="0"/>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firstButton="1" fmlaLink="$I$162"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fmlaLink="$I$163"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Radio" firstButton="1" fmlaLink="$I$164"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Radio" firstButton="1" fmlaLink="$I$165"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firstButton="1" fmlaLink="$I$22" lockText="1" noThreeD="1"/>
</file>

<file path=xl/ctrlProps/ctrlProp50.xml><?xml version="1.0" encoding="utf-8"?>
<formControlPr xmlns="http://schemas.microsoft.com/office/spreadsheetml/2009/9/main" objectType="Radio" firstButton="1" fmlaLink="$I$166"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Radio" firstButton="1" fmlaLink="I73"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Radio" firstButton="1" fmlaLink="I79"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Radio" firstButton="1" fmlaLink="$I$32"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Radio" firstButton="1" fmlaLink="$I$34"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firstButton="1" fmlaLink="$I$172"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Radio" firstButton="1" fmlaLink="I11"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Radio" firstButton="1" fmlaLink="$I$20"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firstButton="1" fmlaLink="$I$22"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I$32" lockText="1" noThreeD="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firstButton="1" fmlaLink="$I$34"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Radio" firstButton="1" fmlaLink="$I$84"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I$86"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Radio" firstButton="1" fmlaLink="$I$25" lockText="1" noThreeD="1"/>
</file>

<file path=xl/ctrlProps/ctrlProp90.xml><?xml version="1.0" encoding="utf-8"?>
<formControlPr xmlns="http://schemas.microsoft.com/office/spreadsheetml/2009/9/main" objectType="Radio" firstButton="1" fmlaLink="$I$88"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Radio" firstButton="1" fmlaLink="$I$96"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216</xdr:row>
      <xdr:rowOff>0</xdr:rowOff>
    </xdr:from>
    <xdr:to>
      <xdr:col>4</xdr:col>
      <xdr:colOff>105410</xdr:colOff>
      <xdr:row>216</xdr:row>
      <xdr:rowOff>190500</xdr:rowOff>
    </xdr:to>
    <xdr:sp macro="" textlink="">
      <xdr:nvSpPr>
        <xdr:cNvPr id="3037204" name="Text Box 7">
          <a:extLst>
            <a:ext uri="{FF2B5EF4-FFF2-40B4-BE49-F238E27FC236}">
              <a16:creationId xmlns:a16="http://schemas.microsoft.com/office/drawing/2014/main" xmlns="" id="{00000000-0008-0000-0000-000014582E00}"/>
            </a:ext>
          </a:extLst>
        </xdr:cNvPr>
        <xdr:cNvSpPr txBox="1">
          <a:spLocks noChangeArrowheads="1"/>
        </xdr:cNvSpPr>
      </xdr:nvSpPr>
      <xdr:spPr bwMode="auto">
        <a:xfrm>
          <a:off x="4472940" y="22562820"/>
          <a:ext cx="9906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xdr:col>
      <xdr:colOff>571500</xdr:colOff>
      <xdr:row>31</xdr:row>
      <xdr:rowOff>0</xdr:rowOff>
    </xdr:from>
    <xdr:to>
      <xdr:col>3</xdr:col>
      <xdr:colOff>571500</xdr:colOff>
      <xdr:row>31</xdr:row>
      <xdr:rowOff>0</xdr:rowOff>
    </xdr:to>
    <xdr:sp macro="" textlink="">
      <xdr:nvSpPr>
        <xdr:cNvPr id="3037205" name="Line 8">
          <a:extLst>
            <a:ext uri="{FF2B5EF4-FFF2-40B4-BE49-F238E27FC236}">
              <a16:creationId xmlns:a16="http://schemas.microsoft.com/office/drawing/2014/main" xmlns="" id="{00000000-0008-0000-0000-000015582E00}"/>
            </a:ext>
          </a:extLst>
        </xdr:cNvPr>
        <xdr:cNvSpPr>
          <a:spLocks noChangeShapeType="1"/>
        </xdr:cNvSpPr>
      </xdr:nvSpPr>
      <xdr:spPr bwMode="auto">
        <a:xfrm>
          <a:off x="395478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640080</xdr:colOff>
      <xdr:row>31</xdr:row>
      <xdr:rowOff>0</xdr:rowOff>
    </xdr:from>
    <xdr:to>
      <xdr:col>5</xdr:col>
      <xdr:colOff>640080</xdr:colOff>
      <xdr:row>31</xdr:row>
      <xdr:rowOff>0</xdr:rowOff>
    </xdr:to>
    <xdr:sp macro="" textlink="">
      <xdr:nvSpPr>
        <xdr:cNvPr id="3037206" name="Line 9">
          <a:extLst>
            <a:ext uri="{FF2B5EF4-FFF2-40B4-BE49-F238E27FC236}">
              <a16:creationId xmlns:a16="http://schemas.microsoft.com/office/drawing/2014/main" xmlns="" id="{00000000-0008-0000-0000-000016582E00}"/>
            </a:ext>
          </a:extLst>
        </xdr:cNvPr>
        <xdr:cNvSpPr>
          <a:spLocks noChangeShapeType="1"/>
        </xdr:cNvSpPr>
      </xdr:nvSpPr>
      <xdr:spPr bwMode="auto">
        <a:xfrm>
          <a:off x="728472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7620</xdr:colOff>
      <xdr:row>216</xdr:row>
      <xdr:rowOff>0</xdr:rowOff>
    </xdr:from>
    <xdr:to>
      <xdr:col>7</xdr:col>
      <xdr:colOff>0</xdr:colOff>
      <xdr:row>217</xdr:row>
      <xdr:rowOff>114300</xdr:rowOff>
    </xdr:to>
    <xdr:graphicFrame macro="">
      <xdr:nvGraphicFramePr>
        <xdr:cNvPr id="3037207" name="Chart 19">
          <a:extLst>
            <a:ext uri="{FF2B5EF4-FFF2-40B4-BE49-F238E27FC236}">
              <a16:creationId xmlns:a16="http://schemas.microsoft.com/office/drawing/2014/main" xmlns="" id="{00000000-0008-0000-0000-000017582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7620</xdr:colOff>
      <xdr:row>218</xdr:row>
      <xdr:rowOff>15240</xdr:rowOff>
    </xdr:from>
    <xdr:to>
      <xdr:col>10</xdr:col>
      <xdr:colOff>7620</xdr:colOff>
      <xdr:row>220</xdr:row>
      <xdr:rowOff>312420</xdr:rowOff>
    </xdr:to>
    <xdr:graphicFrame macro="">
      <xdr:nvGraphicFramePr>
        <xdr:cNvPr id="3037208" name="Chart 20">
          <a:extLst>
            <a:ext uri="{FF2B5EF4-FFF2-40B4-BE49-F238E27FC236}">
              <a16:creationId xmlns:a16="http://schemas.microsoft.com/office/drawing/2014/main" xmlns="" id="{00000000-0008-0000-0000-000018582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331470</xdr:colOff>
      <xdr:row>0</xdr:row>
      <xdr:rowOff>78105</xdr:rowOff>
    </xdr:from>
    <xdr:to>
      <xdr:col>6</xdr:col>
      <xdr:colOff>1305867</xdr:colOff>
      <xdr:row>0</xdr:row>
      <xdr:rowOff>533451</xdr:rowOff>
    </xdr:to>
    <xdr:sp macro="" textlink="">
      <xdr:nvSpPr>
        <xdr:cNvPr id="63612" name="Testo 1">
          <a:extLst>
            <a:ext uri="{FF2B5EF4-FFF2-40B4-BE49-F238E27FC236}">
              <a16:creationId xmlns:a16="http://schemas.microsoft.com/office/drawing/2014/main" xmlns="" id="{00000000-0008-0000-0000-00007CF80000}"/>
            </a:ext>
          </a:extLst>
        </xdr:cNvPr>
        <xdr:cNvSpPr>
          <a:spLocks noChangeArrowheads="1"/>
        </xdr:cNvSpPr>
      </xdr:nvSpPr>
      <xdr:spPr bwMode="auto">
        <a:xfrm>
          <a:off x="352425" y="66675"/>
          <a:ext cx="9763125" cy="466725"/>
        </a:xfrm>
        <a:prstGeom prst="roundRect">
          <a:avLst>
            <a:gd name="adj" fmla="val 16667"/>
          </a:avLst>
        </a:prstGeom>
        <a:solidFill>
          <a:srgbClr val="C0C0C0"/>
        </a:solidFill>
        <a:ln w="9525">
          <a:solidFill>
            <a:srgbClr val="000000"/>
          </a:solidFill>
          <a:round/>
          <a:headEnd/>
          <a:tailEnd/>
        </a:ln>
        <a:effectLst>
          <a:outerShdw dist="35921" dir="2700000" algn="ctr" rotWithShape="0">
            <a:srgbClr val="000000"/>
          </a:outerShdw>
        </a:effectLst>
      </xdr:spPr>
      <xdr:txBody>
        <a:bodyPr vertOverflow="clip" wrap="square" lIns="45720" tIns="36576" rIns="45720" bIns="36576" anchor="ctr" upright="1"/>
        <a:lstStyle/>
        <a:p>
          <a:pPr algn="ctr" rtl="0">
            <a:defRPr sz="1000"/>
          </a:pPr>
          <a:r>
            <a:rPr lang="it-IT" sz="1800" b="1" i="0" strike="noStrike">
              <a:solidFill>
                <a:srgbClr val="000000"/>
              </a:solidFill>
              <a:latin typeface="Arial"/>
              <a:cs typeface="Arial"/>
            </a:rPr>
            <a:t>Scheda Informativa 1: INFORMAZIONI  DI CARATTERE GENERALE</a:t>
          </a:r>
        </a:p>
      </xdr:txBody>
    </xdr:sp>
    <xdr:clientData/>
  </xdr:twoCellAnchor>
  <xdr:twoCellAnchor>
    <xdr:from>
      <xdr:col>3</xdr:col>
      <xdr:colOff>571500</xdr:colOff>
      <xdr:row>37</xdr:row>
      <xdr:rowOff>0</xdr:rowOff>
    </xdr:from>
    <xdr:to>
      <xdr:col>3</xdr:col>
      <xdr:colOff>571500</xdr:colOff>
      <xdr:row>37</xdr:row>
      <xdr:rowOff>0</xdr:rowOff>
    </xdr:to>
    <xdr:sp macro="" textlink="">
      <xdr:nvSpPr>
        <xdr:cNvPr id="3037210" name="Line 8">
          <a:extLst>
            <a:ext uri="{FF2B5EF4-FFF2-40B4-BE49-F238E27FC236}">
              <a16:creationId xmlns:a16="http://schemas.microsoft.com/office/drawing/2014/main" xmlns="" id="{00000000-0008-0000-0000-00001A582E00}"/>
            </a:ext>
          </a:extLst>
        </xdr:cNvPr>
        <xdr:cNvSpPr>
          <a:spLocks noChangeShapeType="1"/>
        </xdr:cNvSpPr>
      </xdr:nvSpPr>
      <xdr:spPr bwMode="auto">
        <a:xfrm>
          <a:off x="3954780" y="803148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640080</xdr:colOff>
      <xdr:row>37</xdr:row>
      <xdr:rowOff>0</xdr:rowOff>
    </xdr:from>
    <xdr:to>
      <xdr:col>5</xdr:col>
      <xdr:colOff>640080</xdr:colOff>
      <xdr:row>37</xdr:row>
      <xdr:rowOff>0</xdr:rowOff>
    </xdr:to>
    <xdr:sp macro="" textlink="">
      <xdr:nvSpPr>
        <xdr:cNvPr id="3037211" name="Line 9">
          <a:extLst>
            <a:ext uri="{FF2B5EF4-FFF2-40B4-BE49-F238E27FC236}">
              <a16:creationId xmlns:a16="http://schemas.microsoft.com/office/drawing/2014/main" xmlns="" id="{00000000-0008-0000-0000-00001B582E00}"/>
            </a:ext>
          </a:extLst>
        </xdr:cNvPr>
        <xdr:cNvSpPr>
          <a:spLocks noChangeShapeType="1"/>
        </xdr:cNvSpPr>
      </xdr:nvSpPr>
      <xdr:spPr bwMode="auto">
        <a:xfrm>
          <a:off x="7284720" y="803148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571500</xdr:colOff>
      <xdr:row>31</xdr:row>
      <xdr:rowOff>0</xdr:rowOff>
    </xdr:from>
    <xdr:to>
      <xdr:col>3</xdr:col>
      <xdr:colOff>571500</xdr:colOff>
      <xdr:row>31</xdr:row>
      <xdr:rowOff>0</xdr:rowOff>
    </xdr:to>
    <xdr:sp macro="" textlink="">
      <xdr:nvSpPr>
        <xdr:cNvPr id="3037212" name="Line 8">
          <a:extLst>
            <a:ext uri="{FF2B5EF4-FFF2-40B4-BE49-F238E27FC236}">
              <a16:creationId xmlns:a16="http://schemas.microsoft.com/office/drawing/2014/main" xmlns="" id="{00000000-0008-0000-0000-00001C582E00}"/>
            </a:ext>
          </a:extLst>
        </xdr:cNvPr>
        <xdr:cNvSpPr>
          <a:spLocks noChangeShapeType="1"/>
        </xdr:cNvSpPr>
      </xdr:nvSpPr>
      <xdr:spPr bwMode="auto">
        <a:xfrm>
          <a:off x="395478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640080</xdr:colOff>
      <xdr:row>31</xdr:row>
      <xdr:rowOff>0</xdr:rowOff>
    </xdr:from>
    <xdr:to>
      <xdr:col>5</xdr:col>
      <xdr:colOff>640080</xdr:colOff>
      <xdr:row>31</xdr:row>
      <xdr:rowOff>0</xdr:rowOff>
    </xdr:to>
    <xdr:sp macro="" textlink="">
      <xdr:nvSpPr>
        <xdr:cNvPr id="3037213" name="Line 9">
          <a:extLst>
            <a:ext uri="{FF2B5EF4-FFF2-40B4-BE49-F238E27FC236}">
              <a16:creationId xmlns:a16="http://schemas.microsoft.com/office/drawing/2014/main" xmlns="" id="{00000000-0008-0000-0000-00001D582E00}"/>
            </a:ext>
          </a:extLst>
        </xdr:cNvPr>
        <xdr:cNvSpPr>
          <a:spLocks noChangeShapeType="1"/>
        </xdr:cNvSpPr>
      </xdr:nvSpPr>
      <xdr:spPr bwMode="auto">
        <a:xfrm>
          <a:off x="728472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5715</xdr:colOff>
      <xdr:row>1</xdr:row>
      <xdr:rowOff>31750</xdr:rowOff>
    </xdr:from>
    <xdr:to>
      <xdr:col>30</xdr:col>
      <xdr:colOff>0</xdr:colOff>
      <xdr:row>1</xdr:row>
      <xdr:rowOff>449580</xdr:rowOff>
    </xdr:to>
    <xdr:sp macro="" textlink="">
      <xdr:nvSpPr>
        <xdr:cNvPr id="26625" name="Testo 9">
          <a:extLst>
            <a:ext uri="{FF2B5EF4-FFF2-40B4-BE49-F238E27FC236}">
              <a16:creationId xmlns:a16="http://schemas.microsoft.com/office/drawing/2014/main" xmlns="" id="{00000000-0008-0000-0900-000001680000}"/>
            </a:ext>
          </a:extLst>
        </xdr:cNvPr>
        <xdr:cNvSpPr txBox="1">
          <a:spLocks noChangeArrowheads="1"/>
        </xdr:cNvSpPr>
      </xdr:nvSpPr>
      <xdr:spPr bwMode="auto">
        <a:xfrm>
          <a:off x="5715" y="580390"/>
          <a:ext cx="10441305" cy="41783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4 </a:t>
          </a:r>
          <a:r>
            <a:rPr lang="it-IT" sz="1000" b="1" i="0" strike="noStrike">
              <a:solidFill>
                <a:srgbClr val="000000"/>
              </a:solidFill>
              <a:latin typeface="Arial"/>
              <a:cs typeface="Arial"/>
            </a:rPr>
            <a:t>- </a:t>
          </a:r>
          <a:r>
            <a:rPr lang="it-IT" sz="1000" b="0" i="0" strike="noStrike">
              <a:solidFill>
                <a:srgbClr val="000000"/>
              </a:solidFill>
              <a:latin typeface="Arial"/>
              <a:cs typeface="Arial"/>
            </a:rPr>
            <a:t>Passaggi di qualifica / posizione economica / differenziale stipendiale / differenziale economico di professionalità / profilo del personale a tempo indeterminato e dirigente nel corso dell'anno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1</xdr:row>
      <xdr:rowOff>27305</xdr:rowOff>
    </xdr:from>
    <xdr:to>
      <xdr:col>7</xdr:col>
      <xdr:colOff>565878</xdr:colOff>
      <xdr:row>1</xdr:row>
      <xdr:rowOff>294712</xdr:rowOff>
    </xdr:to>
    <xdr:sp macro="" textlink="">
      <xdr:nvSpPr>
        <xdr:cNvPr id="25601" name="Testo 13">
          <a:extLst>
            <a:ext uri="{FF2B5EF4-FFF2-40B4-BE49-F238E27FC236}">
              <a16:creationId xmlns:a16="http://schemas.microsoft.com/office/drawing/2014/main" xmlns="" id="{00000000-0008-0000-0A00-000001640000}"/>
            </a:ext>
          </a:extLst>
        </xdr:cNvPr>
        <xdr:cNvSpPr txBox="1">
          <a:spLocks noChangeArrowheads="1"/>
        </xdr:cNvSpPr>
      </xdr:nvSpPr>
      <xdr:spPr bwMode="auto">
        <a:xfrm>
          <a:off x="0" y="581025"/>
          <a:ext cx="67056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5</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900" b="0" i="0" strike="noStrike">
              <a:solidFill>
                <a:srgbClr val="000000"/>
              </a:solidFill>
              <a:latin typeface="Arial"/>
              <a:cs typeface="Arial"/>
            </a:rPr>
            <a:t>Personale a tempo indeterminato  e personale dirigente cessato dal servizio nel corso dell'anno</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1</xdr:row>
      <xdr:rowOff>27305</xdr:rowOff>
    </xdr:from>
    <xdr:to>
      <xdr:col>6</xdr:col>
      <xdr:colOff>0</xdr:colOff>
      <xdr:row>1</xdr:row>
      <xdr:rowOff>294712</xdr:rowOff>
    </xdr:to>
    <xdr:sp macro="" textlink="">
      <xdr:nvSpPr>
        <xdr:cNvPr id="24577" name="Testo 13">
          <a:extLst>
            <a:ext uri="{FF2B5EF4-FFF2-40B4-BE49-F238E27FC236}">
              <a16:creationId xmlns:a16="http://schemas.microsoft.com/office/drawing/2014/main" xmlns="" id="{00000000-0008-0000-0B00-000001600000}"/>
            </a:ext>
          </a:extLst>
        </xdr:cNvPr>
        <xdr:cNvSpPr txBox="1">
          <a:spLocks noChangeArrowheads="1"/>
        </xdr:cNvSpPr>
      </xdr:nvSpPr>
      <xdr:spPr bwMode="auto">
        <a:xfrm>
          <a:off x="0" y="581025"/>
          <a:ext cx="6429375"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6 </a:t>
          </a:r>
          <a:r>
            <a:rPr lang="it-IT" sz="800" b="0" i="0" strike="noStrike">
              <a:solidFill>
                <a:srgbClr val="000000"/>
              </a:solidFill>
              <a:latin typeface="Arial"/>
              <a:cs typeface="Arial"/>
            </a:rPr>
            <a:t>-</a:t>
          </a:r>
          <a:r>
            <a:rPr lang="it-IT" sz="900" b="0" i="0" strike="noStrike">
              <a:solidFill>
                <a:srgbClr val="000000"/>
              </a:solidFill>
              <a:latin typeface="Arial"/>
              <a:cs typeface="Arial"/>
            </a:rPr>
            <a:t> Personale a tempo indeterminato e personale dirigente assunto in servizio nel corso dell'anno</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1</xdr:row>
      <xdr:rowOff>43815</xdr:rowOff>
    </xdr:from>
    <xdr:to>
      <xdr:col>11</xdr:col>
      <xdr:colOff>225589</xdr:colOff>
      <xdr:row>1</xdr:row>
      <xdr:rowOff>300489</xdr:rowOff>
    </xdr:to>
    <xdr:sp macro="" textlink="">
      <xdr:nvSpPr>
        <xdr:cNvPr id="23553" name="Testo 13">
          <a:extLst>
            <a:ext uri="{FF2B5EF4-FFF2-40B4-BE49-F238E27FC236}">
              <a16:creationId xmlns:a16="http://schemas.microsoft.com/office/drawing/2014/main" xmlns="" id="{00000000-0008-0000-0C00-0000015C0000}"/>
            </a:ext>
          </a:extLst>
        </xdr:cNvPr>
        <xdr:cNvSpPr txBox="1">
          <a:spLocks noChangeArrowheads="1"/>
        </xdr:cNvSpPr>
      </xdr:nvSpPr>
      <xdr:spPr bwMode="auto">
        <a:xfrm>
          <a:off x="0" y="600075"/>
          <a:ext cx="7286625" cy="2476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7</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900" b="0" i="0" strike="noStrike">
              <a:solidFill>
                <a:srgbClr val="000000"/>
              </a:solidFill>
              <a:latin typeface="Arial"/>
              <a:cs typeface="Arial"/>
            </a:rPr>
            <a:t>Personale a tempo indeterminato e personale dirigente distribuito per classi di anzianità di servizio al 31 dicembre </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1</xdr:row>
      <xdr:rowOff>27305</xdr:rowOff>
    </xdr:from>
    <xdr:to>
      <xdr:col>12</xdr:col>
      <xdr:colOff>4454</xdr:colOff>
      <xdr:row>1</xdr:row>
      <xdr:rowOff>260400</xdr:rowOff>
    </xdr:to>
    <xdr:sp macro="" textlink="">
      <xdr:nvSpPr>
        <xdr:cNvPr id="22529" name="Testo 13">
          <a:extLst>
            <a:ext uri="{FF2B5EF4-FFF2-40B4-BE49-F238E27FC236}">
              <a16:creationId xmlns:a16="http://schemas.microsoft.com/office/drawing/2014/main" xmlns="" id="{00000000-0008-0000-0D00-000001580000}"/>
            </a:ext>
          </a:extLst>
        </xdr:cNvPr>
        <xdr:cNvSpPr txBox="1">
          <a:spLocks noChangeArrowheads="1"/>
        </xdr:cNvSpPr>
      </xdr:nvSpPr>
      <xdr:spPr bwMode="auto">
        <a:xfrm>
          <a:off x="0" y="581025"/>
          <a:ext cx="7743825" cy="23812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8</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900" b="0" i="0" strike="noStrike">
              <a:solidFill>
                <a:srgbClr val="000000"/>
              </a:solidFill>
              <a:latin typeface="Arial"/>
              <a:cs typeface="Arial"/>
            </a:rPr>
            <a:t>Personale a tempo indeterminato e personale dirigente distribuito per classi di età al 31 dicembre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2</xdr:row>
      <xdr:rowOff>38100</xdr:rowOff>
    </xdr:from>
    <xdr:to>
      <xdr:col>7</xdr:col>
      <xdr:colOff>692737</xdr:colOff>
      <xdr:row>2</xdr:row>
      <xdr:rowOff>301531</xdr:rowOff>
    </xdr:to>
    <xdr:sp macro="" textlink="">
      <xdr:nvSpPr>
        <xdr:cNvPr id="21505" name="Testo 2">
          <a:extLst>
            <a:ext uri="{FF2B5EF4-FFF2-40B4-BE49-F238E27FC236}">
              <a16:creationId xmlns:a16="http://schemas.microsoft.com/office/drawing/2014/main" xmlns="" id="{00000000-0008-0000-0E00-000001540000}"/>
            </a:ext>
          </a:extLst>
        </xdr:cNvPr>
        <xdr:cNvSpPr txBox="1">
          <a:spLocks noChangeArrowheads="1"/>
        </xdr:cNvSpPr>
      </xdr:nvSpPr>
      <xdr:spPr bwMode="auto">
        <a:xfrm>
          <a:off x="0" y="657225"/>
          <a:ext cx="7781925"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9 - </a:t>
          </a:r>
          <a:r>
            <a:rPr lang="it-IT" sz="900" b="0" i="0" strike="noStrike">
              <a:solidFill>
                <a:srgbClr val="000000"/>
              </a:solidFill>
              <a:latin typeface="Arial"/>
              <a:cs typeface="Arial"/>
            </a:rPr>
            <a:t>Personale dipendente a tempo indeterminato e personale dirigente distribuito per titolo di studio posseduto al 31 dicembre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0</xdr:colOff>
      <xdr:row>1</xdr:row>
      <xdr:rowOff>31750</xdr:rowOff>
    </xdr:from>
    <xdr:to>
      <xdr:col>14</xdr:col>
      <xdr:colOff>0</xdr:colOff>
      <xdr:row>1</xdr:row>
      <xdr:rowOff>300450</xdr:rowOff>
    </xdr:to>
    <xdr:sp macro="" textlink="">
      <xdr:nvSpPr>
        <xdr:cNvPr id="35842" name="Testo 9">
          <a:extLst>
            <a:ext uri="{FF2B5EF4-FFF2-40B4-BE49-F238E27FC236}">
              <a16:creationId xmlns:a16="http://schemas.microsoft.com/office/drawing/2014/main" xmlns="" id="{00000000-0008-0000-0F00-0000028C0000}"/>
            </a:ext>
          </a:extLst>
        </xdr:cNvPr>
        <xdr:cNvSpPr txBox="1">
          <a:spLocks noChangeArrowheads="1"/>
        </xdr:cNvSpPr>
      </xdr:nvSpPr>
      <xdr:spPr bwMode="auto">
        <a:xfrm>
          <a:off x="2619375" y="590550"/>
          <a:ext cx="53721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27432" anchor="ctr" upright="1"/>
        <a:lstStyle/>
        <a:p>
          <a:pPr algn="l" rtl="0">
            <a:defRPr sz="1000"/>
          </a:pPr>
          <a:r>
            <a:rPr lang="it-IT" sz="1200" b="1" i="0" strike="noStrike">
              <a:solidFill>
                <a:srgbClr val="000000"/>
              </a:solidFill>
              <a:latin typeface="Arial"/>
              <a:cs typeface="Arial"/>
            </a:rPr>
            <a:t>Tabella 10</a:t>
          </a:r>
          <a:r>
            <a:rPr lang="it-IT" sz="900" b="1" i="0" strike="noStrike">
              <a:solidFill>
                <a:srgbClr val="000000"/>
              </a:solidFill>
              <a:latin typeface="Arial"/>
              <a:cs typeface="Arial"/>
            </a:rPr>
            <a:t> </a:t>
          </a:r>
          <a:r>
            <a:rPr lang="it-IT" sz="900" b="0" i="0" strike="noStrike">
              <a:solidFill>
                <a:srgbClr val="000000"/>
              </a:solidFill>
              <a:latin typeface="Arial"/>
              <a:cs typeface="Arial"/>
            </a:rPr>
            <a:t>Personale  in servizio al 31 dicembre  distribuito per Regioni e all'estero.</a:t>
          </a:r>
        </a:p>
      </xdr:txBody>
    </xdr:sp>
    <xdr:clientData/>
  </xdr:twoCellAnchor>
  <xdr:twoCellAnchor>
    <xdr:from>
      <xdr:col>26</xdr:col>
      <xdr:colOff>0</xdr:colOff>
      <xdr:row>1</xdr:row>
      <xdr:rowOff>31750</xdr:rowOff>
    </xdr:from>
    <xdr:to>
      <xdr:col>37</xdr:col>
      <xdr:colOff>33051</xdr:colOff>
      <xdr:row>1</xdr:row>
      <xdr:rowOff>300450</xdr:rowOff>
    </xdr:to>
    <xdr:sp macro="" textlink="">
      <xdr:nvSpPr>
        <xdr:cNvPr id="35847" name="Testo 9">
          <a:extLst>
            <a:ext uri="{FF2B5EF4-FFF2-40B4-BE49-F238E27FC236}">
              <a16:creationId xmlns:a16="http://schemas.microsoft.com/office/drawing/2014/main" xmlns="" id="{00000000-0008-0000-0F00-0000078C0000}"/>
            </a:ext>
          </a:extLst>
        </xdr:cNvPr>
        <xdr:cNvSpPr txBox="1">
          <a:spLocks noChangeArrowheads="1"/>
        </xdr:cNvSpPr>
      </xdr:nvSpPr>
      <xdr:spPr bwMode="auto">
        <a:xfrm>
          <a:off x="13363575" y="590550"/>
          <a:ext cx="53721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27432" anchor="ctr" upright="1"/>
        <a:lstStyle/>
        <a:p>
          <a:pPr algn="l" rtl="0">
            <a:defRPr sz="1000"/>
          </a:pPr>
          <a:r>
            <a:rPr lang="it-IT" sz="1200" b="1" i="0" strike="noStrike">
              <a:solidFill>
                <a:srgbClr val="000000"/>
              </a:solidFill>
              <a:latin typeface="Arial"/>
              <a:cs typeface="Arial"/>
            </a:rPr>
            <a:t>Tabella 10</a:t>
          </a:r>
          <a:r>
            <a:rPr lang="it-IT" sz="900" b="1" i="0" strike="noStrike">
              <a:solidFill>
                <a:srgbClr val="000000"/>
              </a:solidFill>
              <a:latin typeface="Arial"/>
              <a:cs typeface="Arial"/>
            </a:rPr>
            <a:t> </a:t>
          </a:r>
          <a:r>
            <a:rPr lang="it-IT" sz="900" b="0" i="0" strike="noStrike">
              <a:solidFill>
                <a:srgbClr val="000000"/>
              </a:solidFill>
              <a:latin typeface="Arial"/>
              <a:cs typeface="Arial"/>
            </a:rPr>
            <a:t>Personale  in servizio al 31 dicembre  distribuito per Regioni e all'estero.</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1</xdr:row>
      <xdr:rowOff>27305</xdr:rowOff>
    </xdr:from>
    <xdr:to>
      <xdr:col>34</xdr:col>
      <xdr:colOff>2543</xdr:colOff>
      <xdr:row>1</xdr:row>
      <xdr:rowOff>294712</xdr:rowOff>
    </xdr:to>
    <xdr:sp macro="" textlink="">
      <xdr:nvSpPr>
        <xdr:cNvPr id="60417" name="Testo 3">
          <a:extLst>
            <a:ext uri="{FF2B5EF4-FFF2-40B4-BE49-F238E27FC236}">
              <a16:creationId xmlns:a16="http://schemas.microsoft.com/office/drawing/2014/main" xmlns="" id="{00000000-0008-0000-1000-000001EC0000}"/>
            </a:ext>
          </a:extLst>
        </xdr:cNvPr>
        <xdr:cNvSpPr txBox="1">
          <a:spLocks noChangeArrowheads="1"/>
        </xdr:cNvSpPr>
      </xdr:nvSpPr>
      <xdr:spPr bwMode="auto">
        <a:xfrm>
          <a:off x="0" y="577215"/>
          <a:ext cx="523494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11</a:t>
          </a:r>
          <a:r>
            <a:rPr lang="it-IT" sz="900" b="1" i="0" strike="noStrike">
              <a:solidFill>
                <a:srgbClr val="000000"/>
              </a:solidFill>
              <a:latin typeface="Arial"/>
              <a:cs typeface="Arial"/>
            </a:rPr>
            <a:t> </a:t>
          </a:r>
          <a:r>
            <a:rPr lang="it-IT" sz="900" b="0" i="0" strike="noStrike">
              <a:solidFill>
                <a:srgbClr val="000000"/>
              </a:solidFill>
              <a:latin typeface="Arial"/>
              <a:cs typeface="Arial"/>
            </a:rPr>
            <a:t>- Numero giorni di assenza del personale in servizio nel corso dell'anno</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1</xdr:row>
      <xdr:rowOff>38100</xdr:rowOff>
    </xdr:from>
    <xdr:to>
      <xdr:col>31</xdr:col>
      <xdr:colOff>1060</xdr:colOff>
      <xdr:row>1</xdr:row>
      <xdr:rowOff>272432</xdr:rowOff>
    </xdr:to>
    <xdr:sp macro="" textlink="">
      <xdr:nvSpPr>
        <xdr:cNvPr id="32769" name="Testo 3">
          <a:extLst>
            <a:ext uri="{FF2B5EF4-FFF2-40B4-BE49-F238E27FC236}">
              <a16:creationId xmlns:a16="http://schemas.microsoft.com/office/drawing/2014/main" xmlns="" id="{00000000-0008-0000-1100-000001800000}"/>
            </a:ext>
          </a:extLst>
        </xdr:cNvPr>
        <xdr:cNvSpPr txBox="1">
          <a:spLocks noChangeArrowheads="1"/>
        </xdr:cNvSpPr>
      </xdr:nvSpPr>
      <xdr:spPr bwMode="auto">
        <a:xfrm>
          <a:off x="0" y="457200"/>
          <a:ext cx="6377940" cy="23812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12 </a:t>
          </a:r>
          <a:r>
            <a:rPr lang="it-IT" sz="1200" b="0" i="0" strike="noStrike">
              <a:solidFill>
                <a:srgbClr val="000000"/>
              </a:solidFill>
              <a:latin typeface="Arial"/>
              <a:cs typeface="Arial"/>
            </a:rPr>
            <a:t>-</a:t>
          </a:r>
          <a:r>
            <a:rPr lang="it-IT" sz="1200" b="1" i="0" strike="noStrike">
              <a:solidFill>
                <a:srgbClr val="000000"/>
              </a:solidFill>
              <a:latin typeface="Arial"/>
              <a:cs typeface="Arial"/>
            </a:rPr>
            <a:t> </a:t>
          </a:r>
          <a:r>
            <a:rPr lang="it-IT" sz="800" b="0" i="0" strike="noStrike">
              <a:solidFill>
                <a:srgbClr val="000000"/>
              </a:solidFill>
              <a:latin typeface="Arial"/>
              <a:cs typeface="Arial"/>
            </a:rPr>
            <a:t> </a:t>
          </a:r>
          <a:r>
            <a:rPr lang="it-IT" sz="1000" b="0" i="0" strike="noStrike">
              <a:solidFill>
                <a:srgbClr val="000000"/>
              </a:solidFill>
              <a:latin typeface="Arial"/>
              <a:cs typeface="Arial"/>
            </a:rPr>
            <a:t>oneri annui  per voci retributive a carattere "stipendiale" corrisposte al personale  in servizio (*)</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1</xdr:row>
      <xdr:rowOff>43815</xdr:rowOff>
    </xdr:from>
    <xdr:to>
      <xdr:col>32</xdr:col>
      <xdr:colOff>155</xdr:colOff>
      <xdr:row>1</xdr:row>
      <xdr:rowOff>272415</xdr:rowOff>
    </xdr:to>
    <xdr:sp macro="" textlink="">
      <xdr:nvSpPr>
        <xdr:cNvPr id="31745" name="Testo 3">
          <a:extLst>
            <a:ext uri="{FF2B5EF4-FFF2-40B4-BE49-F238E27FC236}">
              <a16:creationId xmlns:a16="http://schemas.microsoft.com/office/drawing/2014/main" xmlns="" id="{00000000-0008-0000-1200-0000017C0000}"/>
            </a:ext>
          </a:extLst>
        </xdr:cNvPr>
        <xdr:cNvSpPr txBox="1">
          <a:spLocks noChangeArrowheads="1"/>
        </xdr:cNvSpPr>
      </xdr:nvSpPr>
      <xdr:spPr bwMode="auto">
        <a:xfrm>
          <a:off x="0" y="504825"/>
          <a:ext cx="6309360" cy="2286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13 </a:t>
          </a:r>
          <a:r>
            <a:rPr lang="it-IT" sz="1200" b="0" i="0" strike="noStrike">
              <a:solidFill>
                <a:srgbClr val="000000"/>
              </a:solidFill>
              <a:latin typeface="Arial"/>
              <a:cs typeface="Arial"/>
            </a:rPr>
            <a:t>- </a:t>
          </a:r>
          <a:r>
            <a:rPr lang="it-IT" sz="1000" b="0" i="0" strike="noStrike">
              <a:solidFill>
                <a:srgbClr val="000000"/>
              </a:solidFill>
              <a:latin typeface="Arial"/>
              <a:cs typeface="Arial"/>
            </a:rPr>
            <a:t>oneri annui per indennità e compensi accessori corrisposti  al personale  in servizio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xdr:colOff>
      <xdr:row>0</xdr:row>
      <xdr:rowOff>113029</xdr:rowOff>
    </xdr:from>
    <xdr:to>
      <xdr:col>6</xdr:col>
      <xdr:colOff>1026761</xdr:colOff>
      <xdr:row>0</xdr:row>
      <xdr:rowOff>645712</xdr:rowOff>
    </xdr:to>
    <xdr:sp macro="" textlink="">
      <xdr:nvSpPr>
        <xdr:cNvPr id="2" name="Testo 1">
          <a:extLst>
            <a:ext uri="{FF2B5EF4-FFF2-40B4-BE49-F238E27FC236}">
              <a16:creationId xmlns:a16="http://schemas.microsoft.com/office/drawing/2014/main" xmlns="" id="{00000000-0008-0000-0100-000002000000}"/>
            </a:ext>
          </a:extLst>
        </xdr:cNvPr>
        <xdr:cNvSpPr>
          <a:spLocks noChangeArrowheads="1"/>
        </xdr:cNvSpPr>
      </xdr:nvSpPr>
      <xdr:spPr bwMode="auto">
        <a:xfrm>
          <a:off x="360044" y="113029"/>
          <a:ext cx="8111457" cy="532683"/>
        </a:xfrm>
        <a:prstGeom prst="roundRect">
          <a:avLst>
            <a:gd name="adj" fmla="val 16667"/>
          </a:avLst>
        </a:prstGeom>
        <a:solidFill>
          <a:srgbClr val="C0C0C0"/>
        </a:solidFill>
        <a:ln w="9525">
          <a:solidFill>
            <a:srgbClr val="000000"/>
          </a:solidFill>
          <a:round/>
          <a:headEnd/>
          <a:tailEnd/>
        </a:ln>
        <a:effectLst>
          <a:outerShdw dist="35921" dir="2700000" algn="ctr" rotWithShape="0">
            <a:srgbClr val="000000"/>
          </a:outerShdw>
        </a:effectLst>
      </xdr:spPr>
      <xdr:txBody>
        <a:bodyPr vertOverflow="clip" wrap="square" lIns="45720" tIns="36576" rIns="45720" bIns="36576" anchor="ctr" upright="1"/>
        <a:lstStyle/>
        <a:p>
          <a:pPr algn="ctr" rtl="0">
            <a:defRPr sz="1000"/>
          </a:pPr>
          <a:r>
            <a:rPr lang="it-IT" sz="1800" b="1" i="0" strike="noStrike">
              <a:solidFill>
                <a:srgbClr val="000000"/>
              </a:solidFill>
              <a:latin typeface="Arial"/>
              <a:cs typeface="Arial"/>
            </a:rPr>
            <a:t>SCHEDA INFORMATIVA 1A</a:t>
          </a:r>
        </a:p>
      </xdr:txBody>
    </xdr:sp>
    <xdr:clientData/>
  </xdr:twoCellAnchor>
  <xdr:twoCellAnchor>
    <xdr:from>
      <xdr:col>6</xdr:col>
      <xdr:colOff>0</xdr:colOff>
      <xdr:row>2</xdr:row>
      <xdr:rowOff>0</xdr:rowOff>
    </xdr:from>
    <xdr:to>
      <xdr:col>6</xdr:col>
      <xdr:colOff>0</xdr:colOff>
      <xdr:row>2</xdr:row>
      <xdr:rowOff>0</xdr:rowOff>
    </xdr:to>
    <xdr:sp macro="" textlink="" fLocksText="0">
      <xdr:nvSpPr>
        <xdr:cNvPr id="3" name="Text Box 2">
          <a:extLst>
            <a:ext uri="{FF2B5EF4-FFF2-40B4-BE49-F238E27FC236}">
              <a16:creationId xmlns:a16="http://schemas.microsoft.com/office/drawing/2014/main" xmlns="" id="{00000000-0008-0000-0100-000003000000}"/>
            </a:ext>
          </a:extLst>
        </xdr:cNvPr>
        <xdr:cNvSpPr txBox="1">
          <a:spLocks noChangeArrowheads="1"/>
        </xdr:cNvSpPr>
      </xdr:nvSpPr>
      <xdr:spPr bwMode="auto">
        <a:xfrm>
          <a:off x="7444740" y="1112520"/>
          <a:ext cx="0" cy="0"/>
        </a:xfrm>
        <a:prstGeom prst="rect">
          <a:avLst/>
        </a:prstGeom>
        <a:solidFill>
          <a:srgbClr val="FFFFCC"/>
        </a:solidFill>
        <a:ln w="9525">
          <a:solidFill>
            <a:srgbClr val="000000"/>
          </a:solidFill>
          <a:miter lim="800000"/>
          <a:headEnd/>
          <a:tailEnd/>
        </a:ln>
      </xdr:spPr>
    </xdr:sp>
    <xdr:clientData fLocksWithSheet="0"/>
  </xdr:twoCellAnchor>
  <xdr:twoCellAnchor>
    <xdr:from>
      <xdr:col>6</xdr:col>
      <xdr:colOff>0</xdr:colOff>
      <xdr:row>2</xdr:row>
      <xdr:rowOff>0</xdr:rowOff>
    </xdr:from>
    <xdr:to>
      <xdr:col>6</xdr:col>
      <xdr:colOff>0</xdr:colOff>
      <xdr:row>2</xdr:row>
      <xdr:rowOff>0</xdr:rowOff>
    </xdr:to>
    <xdr:sp macro="" textlink="" fLocksText="0">
      <xdr:nvSpPr>
        <xdr:cNvPr id="4" name="Text Box 3">
          <a:extLst>
            <a:ext uri="{FF2B5EF4-FFF2-40B4-BE49-F238E27FC236}">
              <a16:creationId xmlns:a16="http://schemas.microsoft.com/office/drawing/2014/main" xmlns="" id="{00000000-0008-0000-0100-000004000000}"/>
            </a:ext>
          </a:extLst>
        </xdr:cNvPr>
        <xdr:cNvSpPr txBox="1">
          <a:spLocks noChangeArrowheads="1"/>
        </xdr:cNvSpPr>
      </xdr:nvSpPr>
      <xdr:spPr bwMode="auto">
        <a:xfrm>
          <a:off x="7444740" y="1112520"/>
          <a:ext cx="0" cy="0"/>
        </a:xfrm>
        <a:prstGeom prst="rect">
          <a:avLst/>
        </a:prstGeom>
        <a:solidFill>
          <a:srgbClr val="FFFFCC"/>
        </a:solidFill>
        <a:ln w="9525">
          <a:solidFill>
            <a:srgbClr val="000000"/>
          </a:solidFill>
          <a:miter lim="800000"/>
          <a:headEnd/>
          <a:tailEnd/>
        </a:ln>
      </xdr:spPr>
    </xdr:sp>
    <xdr:clientData fLocksWithSheet="0"/>
  </xdr:twoCellAnchor>
  <mc:AlternateContent xmlns:mc="http://schemas.openxmlformats.org/markup-compatibility/2006">
    <mc:Choice xmlns:a14="http://schemas.microsoft.com/office/drawing/2010/main" Requires="a14">
      <xdr:twoCellAnchor editAs="oneCell">
        <xdr:from>
          <xdr:col>5</xdr:col>
          <xdr:colOff>0</xdr:colOff>
          <xdr:row>19</xdr:row>
          <xdr:rowOff>0</xdr:rowOff>
        </xdr:from>
        <xdr:to>
          <xdr:col>6</xdr:col>
          <xdr:colOff>1152525</xdr:colOff>
          <xdr:row>20</xdr:row>
          <xdr:rowOff>0</xdr:rowOff>
        </xdr:to>
        <xdr:sp macro="" textlink="">
          <xdr:nvSpPr>
            <xdr:cNvPr id="2995201" name="Group Box 1" hidden="1">
              <a:extLst>
                <a:ext uri="{63B3BB69-23CF-44E3-9099-C40C66FF867C}">
                  <a14:compatExt spid="_x0000_s2995201"/>
                </a:ext>
                <a:ext uri="{FF2B5EF4-FFF2-40B4-BE49-F238E27FC236}">
                  <a16:creationId xmlns:a16="http://schemas.microsoft.com/office/drawing/2014/main" xmlns="" id="{00000000-0008-0000-0100-000001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xdr:row>
          <xdr:rowOff>0</xdr:rowOff>
        </xdr:from>
        <xdr:to>
          <xdr:col>6</xdr:col>
          <xdr:colOff>1152525</xdr:colOff>
          <xdr:row>22</xdr:row>
          <xdr:rowOff>0</xdr:rowOff>
        </xdr:to>
        <xdr:sp macro="" textlink="">
          <xdr:nvSpPr>
            <xdr:cNvPr id="2995202" name="Group Box 2" hidden="1">
              <a:extLst>
                <a:ext uri="{63B3BB69-23CF-44E3-9099-C40C66FF867C}">
                  <a14:compatExt spid="_x0000_s2995202"/>
                </a:ext>
                <a:ext uri="{FF2B5EF4-FFF2-40B4-BE49-F238E27FC236}">
                  <a16:creationId xmlns:a16="http://schemas.microsoft.com/office/drawing/2014/main" xmlns="" id="{00000000-0008-0000-0100-000002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19</xdr:row>
          <xdr:rowOff>123825</xdr:rowOff>
        </xdr:from>
        <xdr:to>
          <xdr:col>5</xdr:col>
          <xdr:colOff>800100</xdr:colOff>
          <xdr:row>19</xdr:row>
          <xdr:rowOff>342900</xdr:rowOff>
        </xdr:to>
        <xdr:sp macro="" textlink="">
          <xdr:nvSpPr>
            <xdr:cNvPr id="2995203" name="Option Button 3" hidden="1">
              <a:extLst>
                <a:ext uri="{63B3BB69-23CF-44E3-9099-C40C66FF867C}">
                  <a14:compatExt spid="_x0000_s2995203"/>
                </a:ext>
                <a:ext uri="{FF2B5EF4-FFF2-40B4-BE49-F238E27FC236}">
                  <a16:creationId xmlns:a16="http://schemas.microsoft.com/office/drawing/2014/main" xmlns="" id="{00000000-0008-0000-0100-000003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19</xdr:row>
          <xdr:rowOff>104775</xdr:rowOff>
        </xdr:from>
        <xdr:to>
          <xdr:col>6</xdr:col>
          <xdr:colOff>762000</xdr:colOff>
          <xdr:row>19</xdr:row>
          <xdr:rowOff>333375</xdr:rowOff>
        </xdr:to>
        <xdr:sp macro="" textlink="">
          <xdr:nvSpPr>
            <xdr:cNvPr id="2995204" name="Option Button 4" hidden="1">
              <a:extLst>
                <a:ext uri="{63B3BB69-23CF-44E3-9099-C40C66FF867C}">
                  <a14:compatExt spid="_x0000_s2995204"/>
                </a:ext>
                <a:ext uri="{FF2B5EF4-FFF2-40B4-BE49-F238E27FC236}">
                  <a16:creationId xmlns:a16="http://schemas.microsoft.com/office/drawing/2014/main" xmlns="" id="{00000000-0008-0000-0100-000004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21</xdr:row>
          <xdr:rowOff>104775</xdr:rowOff>
        </xdr:from>
        <xdr:to>
          <xdr:col>5</xdr:col>
          <xdr:colOff>800100</xdr:colOff>
          <xdr:row>21</xdr:row>
          <xdr:rowOff>304800</xdr:rowOff>
        </xdr:to>
        <xdr:sp macro="" textlink="">
          <xdr:nvSpPr>
            <xdr:cNvPr id="2995205" name="Option Button 5" hidden="1">
              <a:extLst>
                <a:ext uri="{63B3BB69-23CF-44E3-9099-C40C66FF867C}">
                  <a14:compatExt spid="_x0000_s2995205"/>
                </a:ext>
                <a:ext uri="{FF2B5EF4-FFF2-40B4-BE49-F238E27FC236}">
                  <a16:creationId xmlns:a16="http://schemas.microsoft.com/office/drawing/2014/main" xmlns="" id="{00000000-0008-0000-0100-000005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21</xdr:row>
          <xdr:rowOff>76200</xdr:rowOff>
        </xdr:from>
        <xdr:to>
          <xdr:col>6</xdr:col>
          <xdr:colOff>762000</xdr:colOff>
          <xdr:row>21</xdr:row>
          <xdr:rowOff>276225</xdr:rowOff>
        </xdr:to>
        <xdr:sp macro="" textlink="">
          <xdr:nvSpPr>
            <xdr:cNvPr id="2995206" name="Option Button 6" hidden="1">
              <a:extLst>
                <a:ext uri="{63B3BB69-23CF-44E3-9099-C40C66FF867C}">
                  <a14:compatExt spid="_x0000_s2995206"/>
                </a:ext>
                <a:ext uri="{FF2B5EF4-FFF2-40B4-BE49-F238E27FC236}">
                  <a16:creationId xmlns:a16="http://schemas.microsoft.com/office/drawing/2014/main" xmlns="" id="{00000000-0008-0000-0100-000006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24</xdr:row>
          <xdr:rowOff>0</xdr:rowOff>
        </xdr:from>
        <xdr:to>
          <xdr:col>6</xdr:col>
          <xdr:colOff>1152525</xdr:colOff>
          <xdr:row>25</xdr:row>
          <xdr:rowOff>0</xdr:rowOff>
        </xdr:to>
        <xdr:sp macro="" textlink="">
          <xdr:nvSpPr>
            <xdr:cNvPr id="2995207" name="Group Box 7" hidden="1">
              <a:extLst>
                <a:ext uri="{63B3BB69-23CF-44E3-9099-C40C66FF867C}">
                  <a14:compatExt spid="_x0000_s2995207"/>
                </a:ext>
                <a:ext uri="{FF2B5EF4-FFF2-40B4-BE49-F238E27FC236}">
                  <a16:creationId xmlns:a16="http://schemas.microsoft.com/office/drawing/2014/main" xmlns="" id="{00000000-0008-0000-0100-000007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0</xdr:rowOff>
        </xdr:from>
        <xdr:to>
          <xdr:col>6</xdr:col>
          <xdr:colOff>1152525</xdr:colOff>
          <xdr:row>32</xdr:row>
          <xdr:rowOff>0</xdr:rowOff>
        </xdr:to>
        <xdr:sp macro="" textlink="">
          <xdr:nvSpPr>
            <xdr:cNvPr id="2995208" name="Group Box 8" hidden="1">
              <a:extLst>
                <a:ext uri="{63B3BB69-23CF-44E3-9099-C40C66FF867C}">
                  <a14:compatExt spid="_x0000_s2995208"/>
                </a:ext>
                <a:ext uri="{FF2B5EF4-FFF2-40B4-BE49-F238E27FC236}">
                  <a16:creationId xmlns:a16="http://schemas.microsoft.com/office/drawing/2014/main" xmlns="" id="{00000000-0008-0000-0100-000008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24</xdr:row>
          <xdr:rowOff>28575</xdr:rowOff>
        </xdr:from>
        <xdr:to>
          <xdr:col>5</xdr:col>
          <xdr:colOff>809625</xdr:colOff>
          <xdr:row>24</xdr:row>
          <xdr:rowOff>257175</xdr:rowOff>
        </xdr:to>
        <xdr:sp macro="" textlink="">
          <xdr:nvSpPr>
            <xdr:cNvPr id="2995209" name="Option Button 9" hidden="1">
              <a:extLst>
                <a:ext uri="{63B3BB69-23CF-44E3-9099-C40C66FF867C}">
                  <a14:compatExt spid="_x0000_s2995209"/>
                </a:ext>
                <a:ext uri="{FF2B5EF4-FFF2-40B4-BE49-F238E27FC236}">
                  <a16:creationId xmlns:a16="http://schemas.microsoft.com/office/drawing/2014/main" xmlns="" id="{00000000-0008-0000-0100-000009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24</xdr:row>
          <xdr:rowOff>28575</xdr:rowOff>
        </xdr:from>
        <xdr:to>
          <xdr:col>6</xdr:col>
          <xdr:colOff>790575</xdr:colOff>
          <xdr:row>24</xdr:row>
          <xdr:rowOff>257175</xdr:rowOff>
        </xdr:to>
        <xdr:sp macro="" textlink="">
          <xdr:nvSpPr>
            <xdr:cNvPr id="2995210" name="Option Button 10" hidden="1">
              <a:extLst>
                <a:ext uri="{63B3BB69-23CF-44E3-9099-C40C66FF867C}">
                  <a14:compatExt spid="_x0000_s2995210"/>
                </a:ext>
                <a:ext uri="{FF2B5EF4-FFF2-40B4-BE49-F238E27FC236}">
                  <a16:creationId xmlns:a16="http://schemas.microsoft.com/office/drawing/2014/main" xmlns="" id="{00000000-0008-0000-0100-00000A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6</xdr:col>
          <xdr:colOff>1152525</xdr:colOff>
          <xdr:row>14</xdr:row>
          <xdr:rowOff>0</xdr:rowOff>
        </xdr:to>
        <xdr:sp macro="" textlink="">
          <xdr:nvSpPr>
            <xdr:cNvPr id="2995211" name="Group Box 11" hidden="1">
              <a:extLst>
                <a:ext uri="{63B3BB69-23CF-44E3-9099-C40C66FF867C}">
                  <a14:compatExt spid="_x0000_s2995211"/>
                </a:ext>
                <a:ext uri="{FF2B5EF4-FFF2-40B4-BE49-F238E27FC236}">
                  <a16:creationId xmlns:a16="http://schemas.microsoft.com/office/drawing/2014/main" xmlns="" id="{00000000-0008-0000-0100-00000B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13</xdr:row>
          <xdr:rowOff>76200</xdr:rowOff>
        </xdr:from>
        <xdr:to>
          <xdr:col>5</xdr:col>
          <xdr:colOff>800100</xdr:colOff>
          <xdr:row>13</xdr:row>
          <xdr:rowOff>314325</xdr:rowOff>
        </xdr:to>
        <xdr:sp macro="" textlink="">
          <xdr:nvSpPr>
            <xdr:cNvPr id="2995212" name="Option Button 12" hidden="1">
              <a:extLst>
                <a:ext uri="{63B3BB69-23CF-44E3-9099-C40C66FF867C}">
                  <a14:compatExt spid="_x0000_s2995212"/>
                </a:ext>
                <a:ext uri="{FF2B5EF4-FFF2-40B4-BE49-F238E27FC236}">
                  <a16:creationId xmlns:a16="http://schemas.microsoft.com/office/drawing/2014/main" xmlns="" id="{00000000-0008-0000-0100-00000C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13</xdr:row>
          <xdr:rowOff>104775</xdr:rowOff>
        </xdr:from>
        <xdr:to>
          <xdr:col>6</xdr:col>
          <xdr:colOff>714375</xdr:colOff>
          <xdr:row>13</xdr:row>
          <xdr:rowOff>333375</xdr:rowOff>
        </xdr:to>
        <xdr:sp macro="" textlink="">
          <xdr:nvSpPr>
            <xdr:cNvPr id="2995213" name="Option Button 13" hidden="1">
              <a:extLst>
                <a:ext uri="{63B3BB69-23CF-44E3-9099-C40C66FF867C}">
                  <a14:compatExt spid="_x0000_s2995213"/>
                </a:ext>
                <a:ext uri="{FF2B5EF4-FFF2-40B4-BE49-F238E27FC236}">
                  <a16:creationId xmlns:a16="http://schemas.microsoft.com/office/drawing/2014/main" xmlns="" id="{00000000-0008-0000-0100-00000D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1190625</xdr:colOff>
          <xdr:row>114</xdr:row>
          <xdr:rowOff>190500</xdr:rowOff>
        </xdr:from>
        <xdr:to>
          <xdr:col>7</xdr:col>
          <xdr:colOff>9525</xdr:colOff>
          <xdr:row>116</xdr:row>
          <xdr:rowOff>0</xdr:rowOff>
        </xdr:to>
        <xdr:sp macro="" textlink="">
          <xdr:nvSpPr>
            <xdr:cNvPr id="2995214" name="Group Box 14" hidden="1">
              <a:extLst>
                <a:ext uri="{63B3BB69-23CF-44E3-9099-C40C66FF867C}">
                  <a14:compatExt spid="_x0000_s2995214"/>
                </a:ext>
                <a:ext uri="{FF2B5EF4-FFF2-40B4-BE49-F238E27FC236}">
                  <a16:creationId xmlns:a16="http://schemas.microsoft.com/office/drawing/2014/main" xmlns="" id="{00000000-0008-0000-0100-00000E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115</xdr:row>
          <xdr:rowOff>161925</xdr:rowOff>
        </xdr:from>
        <xdr:to>
          <xdr:col>5</xdr:col>
          <xdr:colOff>762000</xdr:colOff>
          <xdr:row>116</xdr:row>
          <xdr:rowOff>0</xdr:rowOff>
        </xdr:to>
        <xdr:sp macro="" textlink="">
          <xdr:nvSpPr>
            <xdr:cNvPr id="2995215" name="Option Button 15" hidden="1">
              <a:extLst>
                <a:ext uri="{63B3BB69-23CF-44E3-9099-C40C66FF867C}">
                  <a14:compatExt spid="_x0000_s2995215"/>
                </a:ext>
                <a:ext uri="{FF2B5EF4-FFF2-40B4-BE49-F238E27FC236}">
                  <a16:creationId xmlns:a16="http://schemas.microsoft.com/office/drawing/2014/main" xmlns="" id="{00000000-0008-0000-0100-00000F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115</xdr:row>
          <xdr:rowOff>142875</xdr:rowOff>
        </xdr:from>
        <xdr:to>
          <xdr:col>6</xdr:col>
          <xdr:colOff>828675</xdr:colOff>
          <xdr:row>116</xdr:row>
          <xdr:rowOff>0</xdr:rowOff>
        </xdr:to>
        <xdr:sp macro="" textlink="">
          <xdr:nvSpPr>
            <xdr:cNvPr id="2995216" name="Option Button 16" hidden="1">
              <a:extLst>
                <a:ext uri="{63B3BB69-23CF-44E3-9099-C40C66FF867C}">
                  <a14:compatExt spid="_x0000_s2995216"/>
                </a:ext>
                <a:ext uri="{FF2B5EF4-FFF2-40B4-BE49-F238E27FC236}">
                  <a16:creationId xmlns:a16="http://schemas.microsoft.com/office/drawing/2014/main" xmlns="" id="{00000000-0008-0000-0100-000010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7</xdr:col>
          <xdr:colOff>0</xdr:colOff>
          <xdr:row>119</xdr:row>
          <xdr:rowOff>0</xdr:rowOff>
        </xdr:to>
        <xdr:sp macro="" textlink="">
          <xdr:nvSpPr>
            <xdr:cNvPr id="2995217" name="Group Box 17" hidden="1">
              <a:extLst>
                <a:ext uri="{63B3BB69-23CF-44E3-9099-C40C66FF867C}">
                  <a14:compatExt spid="_x0000_s2995217"/>
                </a:ext>
                <a:ext uri="{FF2B5EF4-FFF2-40B4-BE49-F238E27FC236}">
                  <a16:creationId xmlns:a16="http://schemas.microsoft.com/office/drawing/2014/main" xmlns="" id="{00000000-0008-0000-0100-000011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118</xdr:row>
          <xdr:rowOff>85725</xdr:rowOff>
        </xdr:from>
        <xdr:to>
          <xdr:col>5</xdr:col>
          <xdr:colOff>800100</xdr:colOff>
          <xdr:row>119</xdr:row>
          <xdr:rowOff>0</xdr:rowOff>
        </xdr:to>
        <xdr:sp macro="" textlink="">
          <xdr:nvSpPr>
            <xdr:cNvPr id="2995218" name="Option Button 18" hidden="1">
              <a:extLst>
                <a:ext uri="{63B3BB69-23CF-44E3-9099-C40C66FF867C}">
                  <a14:compatExt spid="_x0000_s2995218"/>
                </a:ext>
                <a:ext uri="{FF2B5EF4-FFF2-40B4-BE49-F238E27FC236}">
                  <a16:creationId xmlns:a16="http://schemas.microsoft.com/office/drawing/2014/main" xmlns="" id="{00000000-0008-0000-0100-000012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118</xdr:row>
          <xdr:rowOff>85725</xdr:rowOff>
        </xdr:from>
        <xdr:to>
          <xdr:col>6</xdr:col>
          <xdr:colOff>790575</xdr:colOff>
          <xdr:row>119</xdr:row>
          <xdr:rowOff>0</xdr:rowOff>
        </xdr:to>
        <xdr:sp macro="" textlink="">
          <xdr:nvSpPr>
            <xdr:cNvPr id="2995219" name="Option Button 19" hidden="1">
              <a:extLst>
                <a:ext uri="{63B3BB69-23CF-44E3-9099-C40C66FF867C}">
                  <a14:compatExt spid="_x0000_s2995219"/>
                </a:ext>
                <a:ext uri="{FF2B5EF4-FFF2-40B4-BE49-F238E27FC236}">
                  <a16:creationId xmlns:a16="http://schemas.microsoft.com/office/drawing/2014/main" xmlns="" id="{00000000-0008-0000-0100-000013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63</xdr:row>
          <xdr:rowOff>0</xdr:rowOff>
        </xdr:from>
        <xdr:to>
          <xdr:col>7</xdr:col>
          <xdr:colOff>9525</xdr:colOff>
          <xdr:row>64</xdr:row>
          <xdr:rowOff>0</xdr:rowOff>
        </xdr:to>
        <xdr:sp macro="" textlink="">
          <xdr:nvSpPr>
            <xdr:cNvPr id="2995220" name="Group Box 20" hidden="1">
              <a:extLst>
                <a:ext uri="{63B3BB69-23CF-44E3-9099-C40C66FF867C}">
                  <a14:compatExt spid="_x0000_s2995220"/>
                </a:ext>
                <a:ext uri="{FF2B5EF4-FFF2-40B4-BE49-F238E27FC236}">
                  <a16:creationId xmlns:a16="http://schemas.microsoft.com/office/drawing/2014/main" xmlns="" id="{00000000-0008-0000-0100-000014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63</xdr:row>
          <xdr:rowOff>28575</xdr:rowOff>
        </xdr:from>
        <xdr:to>
          <xdr:col>5</xdr:col>
          <xdr:colOff>828675</xdr:colOff>
          <xdr:row>64</xdr:row>
          <xdr:rowOff>0</xdr:rowOff>
        </xdr:to>
        <xdr:sp macro="" textlink="">
          <xdr:nvSpPr>
            <xdr:cNvPr id="2995221" name="Option Button 21" hidden="1">
              <a:extLst>
                <a:ext uri="{63B3BB69-23CF-44E3-9099-C40C66FF867C}">
                  <a14:compatExt spid="_x0000_s2995221"/>
                </a:ext>
                <a:ext uri="{FF2B5EF4-FFF2-40B4-BE49-F238E27FC236}">
                  <a16:creationId xmlns:a16="http://schemas.microsoft.com/office/drawing/2014/main" xmlns="" id="{00000000-0008-0000-0100-000015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63</xdr:row>
          <xdr:rowOff>28575</xdr:rowOff>
        </xdr:from>
        <xdr:to>
          <xdr:col>6</xdr:col>
          <xdr:colOff>733425</xdr:colOff>
          <xdr:row>64</xdr:row>
          <xdr:rowOff>0</xdr:rowOff>
        </xdr:to>
        <xdr:sp macro="" textlink="">
          <xdr:nvSpPr>
            <xdr:cNvPr id="2995222" name="Option Button 22" hidden="1">
              <a:extLst>
                <a:ext uri="{63B3BB69-23CF-44E3-9099-C40C66FF867C}">
                  <a14:compatExt spid="_x0000_s2995222"/>
                </a:ext>
                <a:ext uri="{FF2B5EF4-FFF2-40B4-BE49-F238E27FC236}">
                  <a16:creationId xmlns:a16="http://schemas.microsoft.com/office/drawing/2014/main" xmlns="" id="{00000000-0008-0000-0100-000016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xdr:row>
          <xdr:rowOff>0</xdr:rowOff>
        </xdr:from>
        <xdr:to>
          <xdr:col>6</xdr:col>
          <xdr:colOff>1152525</xdr:colOff>
          <xdr:row>26</xdr:row>
          <xdr:rowOff>0</xdr:rowOff>
        </xdr:to>
        <xdr:sp macro="" textlink="">
          <xdr:nvSpPr>
            <xdr:cNvPr id="2995223" name="Group Box 23" hidden="1">
              <a:extLst>
                <a:ext uri="{63B3BB69-23CF-44E3-9099-C40C66FF867C}">
                  <a14:compatExt spid="_x0000_s2995223"/>
                </a:ext>
                <a:ext uri="{FF2B5EF4-FFF2-40B4-BE49-F238E27FC236}">
                  <a16:creationId xmlns:a16="http://schemas.microsoft.com/office/drawing/2014/main" xmlns="" id="{00000000-0008-0000-0100-000017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25</xdr:row>
          <xdr:rowOff>28575</xdr:rowOff>
        </xdr:from>
        <xdr:to>
          <xdr:col>5</xdr:col>
          <xdr:colOff>809625</xdr:colOff>
          <xdr:row>25</xdr:row>
          <xdr:rowOff>257175</xdr:rowOff>
        </xdr:to>
        <xdr:sp macro="" textlink="">
          <xdr:nvSpPr>
            <xdr:cNvPr id="2995224" name="Option Button 24" hidden="1">
              <a:extLst>
                <a:ext uri="{63B3BB69-23CF-44E3-9099-C40C66FF867C}">
                  <a14:compatExt spid="_x0000_s2995224"/>
                </a:ext>
                <a:ext uri="{FF2B5EF4-FFF2-40B4-BE49-F238E27FC236}">
                  <a16:creationId xmlns:a16="http://schemas.microsoft.com/office/drawing/2014/main" xmlns="" id="{00000000-0008-0000-0100-000018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25</xdr:row>
          <xdr:rowOff>28575</xdr:rowOff>
        </xdr:from>
        <xdr:to>
          <xdr:col>6</xdr:col>
          <xdr:colOff>790575</xdr:colOff>
          <xdr:row>25</xdr:row>
          <xdr:rowOff>257175</xdr:rowOff>
        </xdr:to>
        <xdr:sp macro="" textlink="">
          <xdr:nvSpPr>
            <xdr:cNvPr id="2995225" name="Option Button 25" hidden="1">
              <a:extLst>
                <a:ext uri="{63B3BB69-23CF-44E3-9099-C40C66FF867C}">
                  <a14:compatExt spid="_x0000_s2995225"/>
                </a:ext>
                <a:ext uri="{FF2B5EF4-FFF2-40B4-BE49-F238E27FC236}">
                  <a16:creationId xmlns:a16="http://schemas.microsoft.com/office/drawing/2014/main" xmlns="" id="{00000000-0008-0000-0100-000019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124</xdr:row>
          <xdr:rowOff>0</xdr:rowOff>
        </xdr:from>
        <xdr:to>
          <xdr:col>7</xdr:col>
          <xdr:colOff>0</xdr:colOff>
          <xdr:row>125</xdr:row>
          <xdr:rowOff>0</xdr:rowOff>
        </xdr:to>
        <xdr:sp macro="" textlink="">
          <xdr:nvSpPr>
            <xdr:cNvPr id="2995226" name="Group Box 26" hidden="1">
              <a:extLst>
                <a:ext uri="{63B3BB69-23CF-44E3-9099-C40C66FF867C}">
                  <a14:compatExt spid="_x0000_s2995226"/>
                </a:ext>
                <a:ext uri="{FF2B5EF4-FFF2-40B4-BE49-F238E27FC236}">
                  <a16:creationId xmlns:a16="http://schemas.microsoft.com/office/drawing/2014/main" xmlns="" id="{00000000-0008-0000-0100-00001A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124</xdr:row>
          <xdr:rowOff>161925</xdr:rowOff>
        </xdr:from>
        <xdr:to>
          <xdr:col>5</xdr:col>
          <xdr:colOff>762000</xdr:colOff>
          <xdr:row>125</xdr:row>
          <xdr:rowOff>0</xdr:rowOff>
        </xdr:to>
        <xdr:sp macro="" textlink="">
          <xdr:nvSpPr>
            <xdr:cNvPr id="2995227" name="Option Button 27" hidden="1">
              <a:extLst>
                <a:ext uri="{63B3BB69-23CF-44E3-9099-C40C66FF867C}">
                  <a14:compatExt spid="_x0000_s2995227"/>
                </a:ext>
                <a:ext uri="{FF2B5EF4-FFF2-40B4-BE49-F238E27FC236}">
                  <a16:creationId xmlns:a16="http://schemas.microsoft.com/office/drawing/2014/main" xmlns="" id="{00000000-0008-0000-0100-00001B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124</xdr:row>
          <xdr:rowOff>142875</xdr:rowOff>
        </xdr:from>
        <xdr:to>
          <xdr:col>6</xdr:col>
          <xdr:colOff>828675</xdr:colOff>
          <xdr:row>125</xdr:row>
          <xdr:rowOff>0</xdr:rowOff>
        </xdr:to>
        <xdr:sp macro="" textlink="">
          <xdr:nvSpPr>
            <xdr:cNvPr id="2995228" name="Option Button 28" hidden="1">
              <a:extLst>
                <a:ext uri="{63B3BB69-23CF-44E3-9099-C40C66FF867C}">
                  <a14:compatExt spid="_x0000_s2995228"/>
                </a:ext>
                <a:ext uri="{FF2B5EF4-FFF2-40B4-BE49-F238E27FC236}">
                  <a16:creationId xmlns:a16="http://schemas.microsoft.com/office/drawing/2014/main" xmlns="" id="{00000000-0008-0000-0100-00001C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46</xdr:row>
          <xdr:rowOff>0</xdr:rowOff>
        </xdr:from>
        <xdr:to>
          <xdr:col>6</xdr:col>
          <xdr:colOff>1152525</xdr:colOff>
          <xdr:row>47</xdr:row>
          <xdr:rowOff>0</xdr:rowOff>
        </xdr:to>
        <xdr:sp macro="" textlink="">
          <xdr:nvSpPr>
            <xdr:cNvPr id="2995229" name="Group Box 29" hidden="1">
              <a:extLst>
                <a:ext uri="{63B3BB69-23CF-44E3-9099-C40C66FF867C}">
                  <a14:compatExt spid="_x0000_s2995229"/>
                </a:ext>
                <a:ext uri="{FF2B5EF4-FFF2-40B4-BE49-F238E27FC236}">
                  <a16:creationId xmlns:a16="http://schemas.microsoft.com/office/drawing/2014/main" xmlns="" id="{00000000-0008-0000-0100-00001D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46</xdr:row>
          <xdr:rowOff>9525</xdr:rowOff>
        </xdr:from>
        <xdr:to>
          <xdr:col>5</xdr:col>
          <xdr:colOff>828675</xdr:colOff>
          <xdr:row>47</xdr:row>
          <xdr:rowOff>0</xdr:rowOff>
        </xdr:to>
        <xdr:sp macro="" textlink="">
          <xdr:nvSpPr>
            <xdr:cNvPr id="2995230" name="Option Button 30" hidden="1">
              <a:extLst>
                <a:ext uri="{63B3BB69-23CF-44E3-9099-C40C66FF867C}">
                  <a14:compatExt spid="_x0000_s2995230"/>
                </a:ext>
                <a:ext uri="{FF2B5EF4-FFF2-40B4-BE49-F238E27FC236}">
                  <a16:creationId xmlns:a16="http://schemas.microsoft.com/office/drawing/2014/main" xmlns="" id="{00000000-0008-0000-0100-00001E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46</xdr:row>
          <xdr:rowOff>9525</xdr:rowOff>
        </xdr:from>
        <xdr:to>
          <xdr:col>6</xdr:col>
          <xdr:colOff>733425</xdr:colOff>
          <xdr:row>47</xdr:row>
          <xdr:rowOff>0</xdr:rowOff>
        </xdr:to>
        <xdr:sp macro="" textlink="">
          <xdr:nvSpPr>
            <xdr:cNvPr id="2995231" name="Option Button 31" hidden="1">
              <a:extLst>
                <a:ext uri="{63B3BB69-23CF-44E3-9099-C40C66FF867C}">
                  <a14:compatExt spid="_x0000_s2995231"/>
                </a:ext>
                <a:ext uri="{FF2B5EF4-FFF2-40B4-BE49-F238E27FC236}">
                  <a16:creationId xmlns:a16="http://schemas.microsoft.com/office/drawing/2014/main" xmlns="" id="{00000000-0008-0000-0100-00001F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48</xdr:row>
          <xdr:rowOff>0</xdr:rowOff>
        </xdr:from>
        <xdr:to>
          <xdr:col>7</xdr:col>
          <xdr:colOff>9525</xdr:colOff>
          <xdr:row>49</xdr:row>
          <xdr:rowOff>0</xdr:rowOff>
        </xdr:to>
        <xdr:sp macro="" textlink="">
          <xdr:nvSpPr>
            <xdr:cNvPr id="2995232" name="Group Box 32" hidden="1">
              <a:extLst>
                <a:ext uri="{63B3BB69-23CF-44E3-9099-C40C66FF867C}">
                  <a14:compatExt spid="_x0000_s2995232"/>
                </a:ext>
                <a:ext uri="{FF2B5EF4-FFF2-40B4-BE49-F238E27FC236}">
                  <a16:creationId xmlns:a16="http://schemas.microsoft.com/office/drawing/2014/main" xmlns="" id="{00000000-0008-0000-0100-000020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48</xdr:row>
          <xdr:rowOff>142875</xdr:rowOff>
        </xdr:from>
        <xdr:to>
          <xdr:col>5</xdr:col>
          <xdr:colOff>828675</xdr:colOff>
          <xdr:row>49</xdr:row>
          <xdr:rowOff>0</xdr:rowOff>
        </xdr:to>
        <xdr:sp macro="" textlink="">
          <xdr:nvSpPr>
            <xdr:cNvPr id="2995233" name="Option Button 33" hidden="1">
              <a:extLst>
                <a:ext uri="{63B3BB69-23CF-44E3-9099-C40C66FF867C}">
                  <a14:compatExt spid="_x0000_s2995233"/>
                </a:ext>
                <a:ext uri="{FF2B5EF4-FFF2-40B4-BE49-F238E27FC236}">
                  <a16:creationId xmlns:a16="http://schemas.microsoft.com/office/drawing/2014/main" xmlns="" id="{00000000-0008-0000-0100-000021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48</xdr:row>
          <xdr:rowOff>142875</xdr:rowOff>
        </xdr:from>
        <xdr:to>
          <xdr:col>6</xdr:col>
          <xdr:colOff>762000</xdr:colOff>
          <xdr:row>49</xdr:row>
          <xdr:rowOff>0</xdr:rowOff>
        </xdr:to>
        <xdr:sp macro="" textlink="">
          <xdr:nvSpPr>
            <xdr:cNvPr id="2995234" name="Option Button 34" hidden="1">
              <a:extLst>
                <a:ext uri="{63B3BB69-23CF-44E3-9099-C40C66FF867C}">
                  <a14:compatExt spid="_x0000_s2995234"/>
                </a:ext>
                <a:ext uri="{FF2B5EF4-FFF2-40B4-BE49-F238E27FC236}">
                  <a16:creationId xmlns:a16="http://schemas.microsoft.com/office/drawing/2014/main" xmlns="" id="{00000000-0008-0000-0100-000022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50</xdr:row>
          <xdr:rowOff>257175</xdr:rowOff>
        </xdr:from>
        <xdr:to>
          <xdr:col>7</xdr:col>
          <xdr:colOff>0</xdr:colOff>
          <xdr:row>61</xdr:row>
          <xdr:rowOff>0</xdr:rowOff>
        </xdr:to>
        <xdr:sp macro="" textlink="">
          <xdr:nvSpPr>
            <xdr:cNvPr id="2995235" name="Group Box 35" hidden="1">
              <a:extLst>
                <a:ext uri="{63B3BB69-23CF-44E3-9099-C40C66FF867C}">
                  <a14:compatExt spid="_x0000_s2995235"/>
                </a:ext>
                <a:ext uri="{FF2B5EF4-FFF2-40B4-BE49-F238E27FC236}">
                  <a16:creationId xmlns:a16="http://schemas.microsoft.com/office/drawing/2014/main" xmlns="" id="{00000000-0008-0000-0100-000023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51</xdr:row>
          <xdr:rowOff>28575</xdr:rowOff>
        </xdr:from>
        <xdr:to>
          <xdr:col>5</xdr:col>
          <xdr:colOff>809625</xdr:colOff>
          <xdr:row>51</xdr:row>
          <xdr:rowOff>257175</xdr:rowOff>
        </xdr:to>
        <xdr:sp macro="" textlink="">
          <xdr:nvSpPr>
            <xdr:cNvPr id="2995236" name="Option Button 36" hidden="1">
              <a:extLst>
                <a:ext uri="{63B3BB69-23CF-44E3-9099-C40C66FF867C}">
                  <a14:compatExt spid="_x0000_s2995236"/>
                </a:ext>
                <a:ext uri="{FF2B5EF4-FFF2-40B4-BE49-F238E27FC236}">
                  <a16:creationId xmlns:a16="http://schemas.microsoft.com/office/drawing/2014/main" xmlns="" id="{00000000-0008-0000-0100-000024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51</xdr:row>
          <xdr:rowOff>28575</xdr:rowOff>
        </xdr:from>
        <xdr:to>
          <xdr:col>6</xdr:col>
          <xdr:colOff>714375</xdr:colOff>
          <xdr:row>51</xdr:row>
          <xdr:rowOff>295275</xdr:rowOff>
        </xdr:to>
        <xdr:sp macro="" textlink="">
          <xdr:nvSpPr>
            <xdr:cNvPr id="2995237" name="Option Button 37" hidden="1">
              <a:extLst>
                <a:ext uri="{63B3BB69-23CF-44E3-9099-C40C66FF867C}">
                  <a14:compatExt spid="_x0000_s2995237"/>
                </a:ext>
                <a:ext uri="{FF2B5EF4-FFF2-40B4-BE49-F238E27FC236}">
                  <a16:creationId xmlns:a16="http://schemas.microsoft.com/office/drawing/2014/main" xmlns="" id="{00000000-0008-0000-0100-000025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161</xdr:row>
          <xdr:rowOff>0</xdr:rowOff>
        </xdr:from>
        <xdr:to>
          <xdr:col>7</xdr:col>
          <xdr:colOff>0</xdr:colOff>
          <xdr:row>162</xdr:row>
          <xdr:rowOff>9525</xdr:rowOff>
        </xdr:to>
        <xdr:sp macro="" textlink="">
          <xdr:nvSpPr>
            <xdr:cNvPr id="2995238" name="Group Box 38" hidden="1">
              <a:extLst>
                <a:ext uri="{63B3BB69-23CF-44E3-9099-C40C66FF867C}">
                  <a14:compatExt spid="_x0000_s2995238"/>
                </a:ext>
                <a:ext uri="{FF2B5EF4-FFF2-40B4-BE49-F238E27FC236}">
                  <a16:creationId xmlns:a16="http://schemas.microsoft.com/office/drawing/2014/main" xmlns="" id="{00000000-0008-0000-0100-000026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161</xdr:row>
          <xdr:rowOff>9525</xdr:rowOff>
        </xdr:from>
        <xdr:to>
          <xdr:col>5</xdr:col>
          <xdr:colOff>762000</xdr:colOff>
          <xdr:row>162</xdr:row>
          <xdr:rowOff>0</xdr:rowOff>
        </xdr:to>
        <xdr:sp macro="" textlink="">
          <xdr:nvSpPr>
            <xdr:cNvPr id="2995239" name="Option Button 39" hidden="1">
              <a:extLst>
                <a:ext uri="{63B3BB69-23CF-44E3-9099-C40C66FF867C}">
                  <a14:compatExt spid="_x0000_s2995239"/>
                </a:ext>
                <a:ext uri="{FF2B5EF4-FFF2-40B4-BE49-F238E27FC236}">
                  <a16:creationId xmlns:a16="http://schemas.microsoft.com/office/drawing/2014/main" xmlns="" id="{00000000-0008-0000-0100-000027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161</xdr:row>
          <xdr:rowOff>9525</xdr:rowOff>
        </xdr:from>
        <xdr:to>
          <xdr:col>6</xdr:col>
          <xdr:colOff>723900</xdr:colOff>
          <xdr:row>162</xdr:row>
          <xdr:rowOff>0</xdr:rowOff>
        </xdr:to>
        <xdr:sp macro="" textlink="">
          <xdr:nvSpPr>
            <xdr:cNvPr id="2995240" name="Option Button 40" hidden="1">
              <a:extLst>
                <a:ext uri="{63B3BB69-23CF-44E3-9099-C40C66FF867C}">
                  <a14:compatExt spid="_x0000_s2995240"/>
                </a:ext>
                <a:ext uri="{FF2B5EF4-FFF2-40B4-BE49-F238E27FC236}">
                  <a16:creationId xmlns:a16="http://schemas.microsoft.com/office/drawing/2014/main" xmlns="" id="{00000000-0008-0000-0100-000028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162</xdr:row>
          <xdr:rowOff>0</xdr:rowOff>
        </xdr:from>
        <xdr:to>
          <xdr:col>7</xdr:col>
          <xdr:colOff>0</xdr:colOff>
          <xdr:row>163</xdr:row>
          <xdr:rowOff>0</xdr:rowOff>
        </xdr:to>
        <xdr:sp macro="" textlink="">
          <xdr:nvSpPr>
            <xdr:cNvPr id="2995241" name="Group Box 41" hidden="1">
              <a:extLst>
                <a:ext uri="{63B3BB69-23CF-44E3-9099-C40C66FF867C}">
                  <a14:compatExt spid="_x0000_s2995241"/>
                </a:ext>
                <a:ext uri="{FF2B5EF4-FFF2-40B4-BE49-F238E27FC236}">
                  <a16:creationId xmlns:a16="http://schemas.microsoft.com/office/drawing/2014/main" xmlns="" id="{00000000-0008-0000-0100-000029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162</xdr:row>
          <xdr:rowOff>9525</xdr:rowOff>
        </xdr:from>
        <xdr:to>
          <xdr:col>5</xdr:col>
          <xdr:colOff>762000</xdr:colOff>
          <xdr:row>163</xdr:row>
          <xdr:rowOff>0</xdr:rowOff>
        </xdr:to>
        <xdr:sp macro="" textlink="">
          <xdr:nvSpPr>
            <xdr:cNvPr id="2995242" name="Option Button 42" hidden="1">
              <a:extLst>
                <a:ext uri="{63B3BB69-23CF-44E3-9099-C40C66FF867C}">
                  <a14:compatExt spid="_x0000_s2995242"/>
                </a:ext>
                <a:ext uri="{FF2B5EF4-FFF2-40B4-BE49-F238E27FC236}">
                  <a16:creationId xmlns:a16="http://schemas.microsoft.com/office/drawing/2014/main" xmlns="" id="{00000000-0008-0000-0100-00002A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162</xdr:row>
          <xdr:rowOff>9525</xdr:rowOff>
        </xdr:from>
        <xdr:to>
          <xdr:col>6</xdr:col>
          <xdr:colOff>723900</xdr:colOff>
          <xdr:row>163</xdr:row>
          <xdr:rowOff>0</xdr:rowOff>
        </xdr:to>
        <xdr:sp macro="" textlink="">
          <xdr:nvSpPr>
            <xdr:cNvPr id="2995243" name="Option Button 43" hidden="1">
              <a:extLst>
                <a:ext uri="{63B3BB69-23CF-44E3-9099-C40C66FF867C}">
                  <a14:compatExt spid="_x0000_s2995243"/>
                </a:ext>
                <a:ext uri="{FF2B5EF4-FFF2-40B4-BE49-F238E27FC236}">
                  <a16:creationId xmlns:a16="http://schemas.microsoft.com/office/drawing/2014/main" xmlns="" id="{00000000-0008-0000-0100-00002B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163</xdr:row>
          <xdr:rowOff>0</xdr:rowOff>
        </xdr:from>
        <xdr:to>
          <xdr:col>7</xdr:col>
          <xdr:colOff>0</xdr:colOff>
          <xdr:row>164</xdr:row>
          <xdr:rowOff>9525</xdr:rowOff>
        </xdr:to>
        <xdr:sp macro="" textlink="">
          <xdr:nvSpPr>
            <xdr:cNvPr id="2995244" name="Group Box 44" hidden="1">
              <a:extLst>
                <a:ext uri="{63B3BB69-23CF-44E3-9099-C40C66FF867C}">
                  <a14:compatExt spid="_x0000_s2995244"/>
                </a:ext>
                <a:ext uri="{FF2B5EF4-FFF2-40B4-BE49-F238E27FC236}">
                  <a16:creationId xmlns:a16="http://schemas.microsoft.com/office/drawing/2014/main" xmlns="" id="{00000000-0008-0000-0100-00002C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163</xdr:row>
          <xdr:rowOff>9525</xdr:rowOff>
        </xdr:from>
        <xdr:to>
          <xdr:col>5</xdr:col>
          <xdr:colOff>762000</xdr:colOff>
          <xdr:row>164</xdr:row>
          <xdr:rowOff>0</xdr:rowOff>
        </xdr:to>
        <xdr:sp macro="" textlink="">
          <xdr:nvSpPr>
            <xdr:cNvPr id="2995245" name="Option Button 45" hidden="1">
              <a:extLst>
                <a:ext uri="{63B3BB69-23CF-44E3-9099-C40C66FF867C}">
                  <a14:compatExt spid="_x0000_s2995245"/>
                </a:ext>
                <a:ext uri="{FF2B5EF4-FFF2-40B4-BE49-F238E27FC236}">
                  <a16:creationId xmlns:a16="http://schemas.microsoft.com/office/drawing/2014/main" xmlns="" id="{00000000-0008-0000-0100-00002D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163</xdr:row>
          <xdr:rowOff>9525</xdr:rowOff>
        </xdr:from>
        <xdr:to>
          <xdr:col>6</xdr:col>
          <xdr:colOff>723900</xdr:colOff>
          <xdr:row>164</xdr:row>
          <xdr:rowOff>0</xdr:rowOff>
        </xdr:to>
        <xdr:sp macro="" textlink="">
          <xdr:nvSpPr>
            <xdr:cNvPr id="2995246" name="Option Button 46" hidden="1">
              <a:extLst>
                <a:ext uri="{63B3BB69-23CF-44E3-9099-C40C66FF867C}">
                  <a14:compatExt spid="_x0000_s2995246"/>
                </a:ext>
                <a:ext uri="{FF2B5EF4-FFF2-40B4-BE49-F238E27FC236}">
                  <a16:creationId xmlns:a16="http://schemas.microsoft.com/office/drawing/2014/main" xmlns="" id="{00000000-0008-0000-0100-00002E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164</xdr:row>
          <xdr:rowOff>0</xdr:rowOff>
        </xdr:from>
        <xdr:to>
          <xdr:col>7</xdr:col>
          <xdr:colOff>0</xdr:colOff>
          <xdr:row>165</xdr:row>
          <xdr:rowOff>9525</xdr:rowOff>
        </xdr:to>
        <xdr:sp macro="" textlink="">
          <xdr:nvSpPr>
            <xdr:cNvPr id="2995247" name="Group Box 47" hidden="1">
              <a:extLst>
                <a:ext uri="{63B3BB69-23CF-44E3-9099-C40C66FF867C}">
                  <a14:compatExt spid="_x0000_s2995247"/>
                </a:ext>
                <a:ext uri="{FF2B5EF4-FFF2-40B4-BE49-F238E27FC236}">
                  <a16:creationId xmlns:a16="http://schemas.microsoft.com/office/drawing/2014/main" xmlns="" id="{00000000-0008-0000-0100-00002F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164</xdr:row>
          <xdr:rowOff>9525</xdr:rowOff>
        </xdr:from>
        <xdr:to>
          <xdr:col>5</xdr:col>
          <xdr:colOff>762000</xdr:colOff>
          <xdr:row>165</xdr:row>
          <xdr:rowOff>0</xdr:rowOff>
        </xdr:to>
        <xdr:sp macro="" textlink="">
          <xdr:nvSpPr>
            <xdr:cNvPr id="2995248" name="Option Button 48" hidden="1">
              <a:extLst>
                <a:ext uri="{63B3BB69-23CF-44E3-9099-C40C66FF867C}">
                  <a14:compatExt spid="_x0000_s2995248"/>
                </a:ext>
                <a:ext uri="{FF2B5EF4-FFF2-40B4-BE49-F238E27FC236}">
                  <a16:creationId xmlns:a16="http://schemas.microsoft.com/office/drawing/2014/main" xmlns="" id="{00000000-0008-0000-0100-000030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164</xdr:row>
          <xdr:rowOff>9525</xdr:rowOff>
        </xdr:from>
        <xdr:to>
          <xdr:col>6</xdr:col>
          <xdr:colOff>723900</xdr:colOff>
          <xdr:row>165</xdr:row>
          <xdr:rowOff>0</xdr:rowOff>
        </xdr:to>
        <xdr:sp macro="" textlink="">
          <xdr:nvSpPr>
            <xdr:cNvPr id="2995249" name="Option Button 49" hidden="1">
              <a:extLst>
                <a:ext uri="{63B3BB69-23CF-44E3-9099-C40C66FF867C}">
                  <a14:compatExt spid="_x0000_s2995249"/>
                </a:ext>
                <a:ext uri="{FF2B5EF4-FFF2-40B4-BE49-F238E27FC236}">
                  <a16:creationId xmlns:a16="http://schemas.microsoft.com/office/drawing/2014/main" xmlns="" id="{00000000-0008-0000-0100-000031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165</xdr:row>
          <xdr:rowOff>9525</xdr:rowOff>
        </xdr:from>
        <xdr:to>
          <xdr:col>5</xdr:col>
          <xdr:colOff>752475</xdr:colOff>
          <xdr:row>165</xdr:row>
          <xdr:rowOff>266700</xdr:rowOff>
        </xdr:to>
        <xdr:sp macro="" textlink="">
          <xdr:nvSpPr>
            <xdr:cNvPr id="2995250" name="Option Button 50" hidden="1">
              <a:extLst>
                <a:ext uri="{63B3BB69-23CF-44E3-9099-C40C66FF867C}">
                  <a14:compatExt spid="_x0000_s2995250"/>
                </a:ext>
                <a:ext uri="{FF2B5EF4-FFF2-40B4-BE49-F238E27FC236}">
                  <a16:creationId xmlns:a16="http://schemas.microsoft.com/office/drawing/2014/main" xmlns="" id="{00000000-0008-0000-0100-000032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165</xdr:row>
          <xdr:rowOff>9525</xdr:rowOff>
        </xdr:from>
        <xdr:to>
          <xdr:col>6</xdr:col>
          <xdr:colOff>714375</xdr:colOff>
          <xdr:row>165</xdr:row>
          <xdr:rowOff>266700</xdr:rowOff>
        </xdr:to>
        <xdr:sp macro="" textlink="">
          <xdr:nvSpPr>
            <xdr:cNvPr id="2995251" name="Option Button 51" hidden="1">
              <a:extLst>
                <a:ext uri="{63B3BB69-23CF-44E3-9099-C40C66FF867C}">
                  <a14:compatExt spid="_x0000_s2995251"/>
                </a:ext>
                <a:ext uri="{FF2B5EF4-FFF2-40B4-BE49-F238E27FC236}">
                  <a16:creationId xmlns:a16="http://schemas.microsoft.com/office/drawing/2014/main" xmlns="" id="{00000000-0008-0000-0100-000033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7</xdr:col>
          <xdr:colOff>9525</xdr:colOff>
          <xdr:row>73</xdr:row>
          <xdr:rowOff>0</xdr:rowOff>
        </xdr:to>
        <xdr:sp macro="" textlink="">
          <xdr:nvSpPr>
            <xdr:cNvPr id="2995252" name="Group Box 52" hidden="1">
              <a:extLst>
                <a:ext uri="{63B3BB69-23CF-44E3-9099-C40C66FF867C}">
                  <a14:compatExt spid="_x0000_s2995252"/>
                </a:ext>
                <a:ext uri="{FF2B5EF4-FFF2-40B4-BE49-F238E27FC236}">
                  <a16:creationId xmlns:a16="http://schemas.microsoft.com/office/drawing/2014/main" xmlns="" id="{00000000-0008-0000-0100-000034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72</xdr:row>
          <xdr:rowOff>9525</xdr:rowOff>
        </xdr:from>
        <xdr:to>
          <xdr:col>5</xdr:col>
          <xdr:colOff>809625</xdr:colOff>
          <xdr:row>72</xdr:row>
          <xdr:rowOff>238125</xdr:rowOff>
        </xdr:to>
        <xdr:sp macro="" textlink="">
          <xdr:nvSpPr>
            <xdr:cNvPr id="2995253" name="Option Button 53" hidden="1">
              <a:extLst>
                <a:ext uri="{63B3BB69-23CF-44E3-9099-C40C66FF867C}">
                  <a14:compatExt spid="_x0000_s2995253"/>
                </a:ext>
                <a:ext uri="{FF2B5EF4-FFF2-40B4-BE49-F238E27FC236}">
                  <a16:creationId xmlns:a16="http://schemas.microsoft.com/office/drawing/2014/main" xmlns="" id="{00000000-0008-0000-0100-000035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72</xdr:row>
          <xdr:rowOff>9525</xdr:rowOff>
        </xdr:from>
        <xdr:to>
          <xdr:col>6</xdr:col>
          <xdr:colOff>714375</xdr:colOff>
          <xdr:row>72</xdr:row>
          <xdr:rowOff>238125</xdr:rowOff>
        </xdr:to>
        <xdr:sp macro="" textlink="">
          <xdr:nvSpPr>
            <xdr:cNvPr id="2995254" name="Option Button 54" hidden="1">
              <a:extLst>
                <a:ext uri="{63B3BB69-23CF-44E3-9099-C40C66FF867C}">
                  <a14:compatExt spid="_x0000_s2995254"/>
                </a:ext>
                <a:ext uri="{FF2B5EF4-FFF2-40B4-BE49-F238E27FC236}">
                  <a16:creationId xmlns:a16="http://schemas.microsoft.com/office/drawing/2014/main" xmlns="" id="{00000000-0008-0000-0100-000036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78</xdr:row>
          <xdr:rowOff>0</xdr:rowOff>
        </xdr:from>
        <xdr:to>
          <xdr:col>7</xdr:col>
          <xdr:colOff>0</xdr:colOff>
          <xdr:row>79</xdr:row>
          <xdr:rowOff>0</xdr:rowOff>
        </xdr:to>
        <xdr:sp macro="" textlink="">
          <xdr:nvSpPr>
            <xdr:cNvPr id="2995255" name="Group Box 55" hidden="1">
              <a:extLst>
                <a:ext uri="{63B3BB69-23CF-44E3-9099-C40C66FF867C}">
                  <a14:compatExt spid="_x0000_s2995255"/>
                </a:ext>
                <a:ext uri="{FF2B5EF4-FFF2-40B4-BE49-F238E27FC236}">
                  <a16:creationId xmlns:a16="http://schemas.microsoft.com/office/drawing/2014/main" xmlns="" id="{00000000-0008-0000-0100-000037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78</xdr:row>
          <xdr:rowOff>76200</xdr:rowOff>
        </xdr:from>
        <xdr:to>
          <xdr:col>5</xdr:col>
          <xdr:colOff>800100</xdr:colOff>
          <xdr:row>78</xdr:row>
          <xdr:rowOff>295275</xdr:rowOff>
        </xdr:to>
        <xdr:sp macro="" textlink="">
          <xdr:nvSpPr>
            <xdr:cNvPr id="2995256" name="Option Button 56" hidden="1">
              <a:extLst>
                <a:ext uri="{63B3BB69-23CF-44E3-9099-C40C66FF867C}">
                  <a14:compatExt spid="_x0000_s2995256"/>
                </a:ext>
                <a:ext uri="{FF2B5EF4-FFF2-40B4-BE49-F238E27FC236}">
                  <a16:creationId xmlns:a16="http://schemas.microsoft.com/office/drawing/2014/main" xmlns="" id="{00000000-0008-0000-0100-000038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78</xdr:row>
          <xdr:rowOff>38100</xdr:rowOff>
        </xdr:from>
        <xdr:to>
          <xdr:col>6</xdr:col>
          <xdr:colOff>762000</xdr:colOff>
          <xdr:row>78</xdr:row>
          <xdr:rowOff>342900</xdr:rowOff>
        </xdr:to>
        <xdr:sp macro="" textlink="">
          <xdr:nvSpPr>
            <xdr:cNvPr id="2995257" name="Option Button 57" hidden="1">
              <a:extLst>
                <a:ext uri="{63B3BB69-23CF-44E3-9099-C40C66FF867C}">
                  <a14:compatExt spid="_x0000_s2995257"/>
                </a:ext>
                <a:ext uri="{FF2B5EF4-FFF2-40B4-BE49-F238E27FC236}">
                  <a16:creationId xmlns:a16="http://schemas.microsoft.com/office/drawing/2014/main" xmlns="" id="{00000000-0008-0000-0100-000039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0</xdr:rowOff>
        </xdr:from>
        <xdr:to>
          <xdr:col>6</xdr:col>
          <xdr:colOff>1152525</xdr:colOff>
          <xdr:row>31</xdr:row>
          <xdr:rowOff>390525</xdr:rowOff>
        </xdr:to>
        <xdr:sp macro="" textlink="">
          <xdr:nvSpPr>
            <xdr:cNvPr id="2995258" name="Group Box 58" hidden="1">
              <a:extLst>
                <a:ext uri="{63B3BB69-23CF-44E3-9099-C40C66FF867C}">
                  <a14:compatExt spid="_x0000_s2995258"/>
                </a:ext>
                <a:ext uri="{FF2B5EF4-FFF2-40B4-BE49-F238E27FC236}">
                  <a16:creationId xmlns:a16="http://schemas.microsoft.com/office/drawing/2014/main" xmlns="" id="{00000000-0008-0000-0100-00003A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31</xdr:row>
          <xdr:rowOff>104775</xdr:rowOff>
        </xdr:from>
        <xdr:to>
          <xdr:col>5</xdr:col>
          <xdr:colOff>800100</xdr:colOff>
          <xdr:row>31</xdr:row>
          <xdr:rowOff>304800</xdr:rowOff>
        </xdr:to>
        <xdr:sp macro="" textlink="">
          <xdr:nvSpPr>
            <xdr:cNvPr id="2995259" name="Option Button 59" hidden="1">
              <a:extLst>
                <a:ext uri="{63B3BB69-23CF-44E3-9099-C40C66FF867C}">
                  <a14:compatExt spid="_x0000_s2995259"/>
                </a:ext>
                <a:ext uri="{FF2B5EF4-FFF2-40B4-BE49-F238E27FC236}">
                  <a16:creationId xmlns:a16="http://schemas.microsoft.com/office/drawing/2014/main" xmlns="" id="{00000000-0008-0000-0100-00003B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31</xdr:row>
          <xdr:rowOff>76200</xdr:rowOff>
        </xdr:from>
        <xdr:to>
          <xdr:col>6</xdr:col>
          <xdr:colOff>762000</xdr:colOff>
          <xdr:row>31</xdr:row>
          <xdr:rowOff>276225</xdr:rowOff>
        </xdr:to>
        <xdr:sp macro="" textlink="">
          <xdr:nvSpPr>
            <xdr:cNvPr id="2995260" name="Option Button 60" hidden="1">
              <a:extLst>
                <a:ext uri="{63B3BB69-23CF-44E3-9099-C40C66FF867C}">
                  <a14:compatExt spid="_x0000_s2995260"/>
                </a:ext>
                <a:ext uri="{FF2B5EF4-FFF2-40B4-BE49-F238E27FC236}">
                  <a16:creationId xmlns:a16="http://schemas.microsoft.com/office/drawing/2014/main" xmlns="" id="{00000000-0008-0000-0100-00003C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33</xdr:row>
          <xdr:rowOff>0</xdr:rowOff>
        </xdr:from>
        <xdr:to>
          <xdr:col>6</xdr:col>
          <xdr:colOff>1152525</xdr:colOff>
          <xdr:row>34</xdr:row>
          <xdr:rowOff>9525</xdr:rowOff>
        </xdr:to>
        <xdr:sp macro="" textlink="">
          <xdr:nvSpPr>
            <xdr:cNvPr id="2995261" name="Group Box 61" hidden="1">
              <a:extLst>
                <a:ext uri="{63B3BB69-23CF-44E3-9099-C40C66FF867C}">
                  <a14:compatExt spid="_x0000_s2995261"/>
                </a:ext>
                <a:ext uri="{FF2B5EF4-FFF2-40B4-BE49-F238E27FC236}">
                  <a16:creationId xmlns:a16="http://schemas.microsoft.com/office/drawing/2014/main" xmlns="" id="{00000000-0008-0000-0100-00003D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33</xdr:row>
          <xdr:rowOff>0</xdr:rowOff>
        </xdr:from>
        <xdr:to>
          <xdr:col>6</xdr:col>
          <xdr:colOff>1152525</xdr:colOff>
          <xdr:row>34</xdr:row>
          <xdr:rowOff>0</xdr:rowOff>
        </xdr:to>
        <xdr:sp macro="" textlink="">
          <xdr:nvSpPr>
            <xdr:cNvPr id="2995262" name="Group Box 62" hidden="1">
              <a:extLst>
                <a:ext uri="{63B3BB69-23CF-44E3-9099-C40C66FF867C}">
                  <a14:compatExt spid="_x0000_s2995262"/>
                </a:ext>
                <a:ext uri="{FF2B5EF4-FFF2-40B4-BE49-F238E27FC236}">
                  <a16:creationId xmlns:a16="http://schemas.microsoft.com/office/drawing/2014/main" xmlns="" id="{00000000-0008-0000-0100-00003E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33</xdr:row>
          <xdr:rowOff>104775</xdr:rowOff>
        </xdr:from>
        <xdr:to>
          <xdr:col>5</xdr:col>
          <xdr:colOff>800100</xdr:colOff>
          <xdr:row>33</xdr:row>
          <xdr:rowOff>304800</xdr:rowOff>
        </xdr:to>
        <xdr:sp macro="" textlink="">
          <xdr:nvSpPr>
            <xdr:cNvPr id="2995263" name="Option Button 63" hidden="1">
              <a:extLst>
                <a:ext uri="{63B3BB69-23CF-44E3-9099-C40C66FF867C}">
                  <a14:compatExt spid="_x0000_s2995263"/>
                </a:ext>
                <a:ext uri="{FF2B5EF4-FFF2-40B4-BE49-F238E27FC236}">
                  <a16:creationId xmlns:a16="http://schemas.microsoft.com/office/drawing/2014/main" xmlns="" id="{00000000-0008-0000-0100-00003F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33</xdr:row>
          <xdr:rowOff>76200</xdr:rowOff>
        </xdr:from>
        <xdr:to>
          <xdr:col>6</xdr:col>
          <xdr:colOff>762000</xdr:colOff>
          <xdr:row>33</xdr:row>
          <xdr:rowOff>276225</xdr:rowOff>
        </xdr:to>
        <xdr:sp macro="" textlink="">
          <xdr:nvSpPr>
            <xdr:cNvPr id="2995264" name="Option Button 64" hidden="1">
              <a:extLst>
                <a:ext uri="{63B3BB69-23CF-44E3-9099-C40C66FF867C}">
                  <a14:compatExt spid="_x0000_s2995264"/>
                </a:ext>
                <a:ext uri="{FF2B5EF4-FFF2-40B4-BE49-F238E27FC236}">
                  <a16:creationId xmlns:a16="http://schemas.microsoft.com/office/drawing/2014/main" xmlns="" id="{00000000-0008-0000-0100-000040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171</xdr:row>
          <xdr:rowOff>0</xdr:rowOff>
        </xdr:from>
        <xdr:to>
          <xdr:col>7</xdr:col>
          <xdr:colOff>0</xdr:colOff>
          <xdr:row>172</xdr:row>
          <xdr:rowOff>0</xdr:rowOff>
        </xdr:to>
        <xdr:sp macro="" textlink="">
          <xdr:nvSpPr>
            <xdr:cNvPr id="2995265" name="Group Box 65" hidden="1">
              <a:extLst>
                <a:ext uri="{63B3BB69-23CF-44E3-9099-C40C66FF867C}">
                  <a14:compatExt spid="_x0000_s2995265"/>
                </a:ext>
                <a:ext uri="{FF2B5EF4-FFF2-40B4-BE49-F238E27FC236}">
                  <a16:creationId xmlns:a16="http://schemas.microsoft.com/office/drawing/2014/main" xmlns="" id="{00000000-0008-0000-0100-000041B4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171</xdr:row>
          <xdr:rowOff>104775</xdr:rowOff>
        </xdr:from>
        <xdr:to>
          <xdr:col>5</xdr:col>
          <xdr:colOff>790575</xdr:colOff>
          <xdr:row>171</xdr:row>
          <xdr:rowOff>371475</xdr:rowOff>
        </xdr:to>
        <xdr:sp macro="" textlink="">
          <xdr:nvSpPr>
            <xdr:cNvPr id="2995266" name="Option Button 66" hidden="1">
              <a:extLst>
                <a:ext uri="{63B3BB69-23CF-44E3-9099-C40C66FF867C}">
                  <a14:compatExt spid="_x0000_s2995266"/>
                </a:ext>
                <a:ext uri="{FF2B5EF4-FFF2-40B4-BE49-F238E27FC236}">
                  <a16:creationId xmlns:a16="http://schemas.microsoft.com/office/drawing/2014/main" xmlns="" id="{00000000-0008-0000-0100-000042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171</xdr:row>
          <xdr:rowOff>104775</xdr:rowOff>
        </xdr:from>
        <xdr:to>
          <xdr:col>6</xdr:col>
          <xdr:colOff>762000</xdr:colOff>
          <xdr:row>171</xdr:row>
          <xdr:rowOff>371475</xdr:rowOff>
        </xdr:to>
        <xdr:sp macro="" textlink="">
          <xdr:nvSpPr>
            <xdr:cNvPr id="2995267" name="Option Button 67" hidden="1">
              <a:extLst>
                <a:ext uri="{63B3BB69-23CF-44E3-9099-C40C66FF867C}">
                  <a14:compatExt spid="_x0000_s2995267"/>
                </a:ext>
                <a:ext uri="{FF2B5EF4-FFF2-40B4-BE49-F238E27FC236}">
                  <a16:creationId xmlns:a16="http://schemas.microsoft.com/office/drawing/2014/main" xmlns="" id="{00000000-0008-0000-0100-000043B4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0</xdr:col>
      <xdr:colOff>0</xdr:colOff>
      <xdr:row>1</xdr:row>
      <xdr:rowOff>31750</xdr:rowOff>
    </xdr:from>
    <xdr:to>
      <xdr:col>0</xdr:col>
      <xdr:colOff>4336146</xdr:colOff>
      <xdr:row>1</xdr:row>
      <xdr:rowOff>260350</xdr:rowOff>
    </xdr:to>
    <xdr:sp macro="" textlink="">
      <xdr:nvSpPr>
        <xdr:cNvPr id="41986" name="Testo 4">
          <a:extLst>
            <a:ext uri="{FF2B5EF4-FFF2-40B4-BE49-F238E27FC236}">
              <a16:creationId xmlns:a16="http://schemas.microsoft.com/office/drawing/2014/main" xmlns="" id="{00000000-0008-0000-1300-000002A40000}"/>
            </a:ext>
          </a:extLst>
        </xdr:cNvPr>
        <xdr:cNvSpPr txBox="1">
          <a:spLocks noChangeArrowheads="1"/>
        </xdr:cNvSpPr>
      </xdr:nvSpPr>
      <xdr:spPr bwMode="auto">
        <a:xfrm>
          <a:off x="0" y="590550"/>
          <a:ext cx="4667250" cy="2286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14</a:t>
          </a:r>
          <a:r>
            <a:rPr lang="it-IT" sz="800" b="0" i="0" strike="noStrike">
              <a:solidFill>
                <a:srgbClr val="000000"/>
              </a:solidFill>
              <a:latin typeface="Arial"/>
              <a:cs typeface="Arial"/>
            </a:rPr>
            <a:t> -  </a:t>
          </a:r>
          <a:r>
            <a:rPr lang="it-IT" sz="1000" b="0" i="0" strike="noStrike">
              <a:solidFill>
                <a:srgbClr val="000000"/>
              </a:solidFill>
              <a:latin typeface="Arial"/>
              <a:cs typeface="Arial"/>
            </a:rPr>
            <a:t>Altri oneri che concorrono a formare il costo del lavoro  (*)</a:t>
          </a: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21</xdr:row>
          <xdr:rowOff>66675</xdr:rowOff>
        </xdr:from>
        <xdr:to>
          <xdr:col>5</xdr:col>
          <xdr:colOff>0</xdr:colOff>
          <xdr:row>21</xdr:row>
          <xdr:rowOff>257175</xdr:rowOff>
        </xdr:to>
        <xdr:sp macro="" textlink="">
          <xdr:nvSpPr>
            <xdr:cNvPr id="42929" name="Drop Down 945" descr="No" hidden="1">
              <a:extLst>
                <a:ext uri="{63B3BB69-23CF-44E3-9099-C40C66FF867C}">
                  <a14:compatExt spid="_x0000_s42929"/>
                </a:ext>
                <a:ext uri="{FF2B5EF4-FFF2-40B4-BE49-F238E27FC236}">
                  <a16:creationId xmlns:a16="http://schemas.microsoft.com/office/drawing/2014/main" xmlns="" id="{00000000-0008-0000-1300-0000B1A70000}"/>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53640926-AAD7-44D8-BBD7-CCE9431645EC}">
                <a14:shadowObscured val="1"/>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xmlns="" id="{00000000-0008-0000-14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a:t>
          </a:r>
        </a:p>
        <a:p>
          <a:pPr algn="ctr" rtl="0">
            <a:defRPr sz="1000"/>
          </a:pPr>
          <a:r>
            <a:rPr lang="it-IT" sz="1600" b="1" i="0" strike="noStrike">
              <a:solidFill>
                <a:srgbClr val="000000"/>
              </a:solidFill>
              <a:latin typeface="Arial"/>
              <a:cs typeface="Arial"/>
            </a:rPr>
            <a:t>Macrocategoria: DIRIGENTI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xmlns="" id="{00000000-0008-0000-14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a:t>
          </a:r>
        </a:p>
        <a:p>
          <a:pPr algn="ctr" rtl="0">
            <a:defRPr sz="1000"/>
          </a:pPr>
          <a:r>
            <a:rPr lang="it-IT" sz="1600" b="1" i="0" strike="noStrike">
              <a:solidFill>
                <a:srgbClr val="000000"/>
              </a:solidFill>
              <a:latin typeface="Arial"/>
              <a:cs typeface="Arial"/>
            </a:rPr>
            <a:t>Macrocategoria: DIRIGENTI</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200</xdr:colOff>
      <xdr:row>3</xdr:row>
      <xdr:rowOff>1587</xdr:rowOff>
    </xdr:to>
    <xdr:sp macro="" textlink="">
      <xdr:nvSpPr>
        <xdr:cNvPr id="2" name="Testo 3">
          <a:extLst>
            <a:ext uri="{FF2B5EF4-FFF2-40B4-BE49-F238E27FC236}">
              <a16:creationId xmlns:a16="http://schemas.microsoft.com/office/drawing/2014/main" xmlns="" id="{00000000-0008-0000-1500-000002000000}"/>
            </a:ext>
          </a:extLst>
        </xdr:cNvPr>
        <xdr:cNvSpPr txBox="1">
          <a:spLocks noChangeArrowheads="1"/>
        </xdr:cNvSpPr>
      </xdr:nvSpPr>
      <xdr:spPr bwMode="auto">
        <a:xfrm>
          <a:off x="0" y="504825"/>
          <a:ext cx="9519137" cy="531812"/>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a:t>
          </a:r>
          <a:r>
            <a:rPr lang="it-IT" sz="1600" b="1" i="0" strike="noStrike">
              <a:solidFill>
                <a:srgbClr val="000000"/>
              </a:solidFill>
              <a:latin typeface="Arial" pitchFamily="34" charset="0"/>
              <a:cs typeface="Arial" pitchFamily="34" charset="0"/>
            </a:rPr>
            <a:t>15 </a:t>
          </a:r>
          <a:r>
            <a:rPr lang="it-IT" sz="1600" b="1" i="0">
              <a:latin typeface="Arial" pitchFamily="34" charset="0"/>
              <a:ea typeface="+mn-ea"/>
              <a:cs typeface="Arial" pitchFamily="34" charset="0"/>
            </a:rPr>
            <a:t>- </a:t>
          </a:r>
          <a:r>
            <a:rPr lang="it-IT" sz="1600" b="0" i="0">
              <a:latin typeface="Arial" pitchFamily="34" charset="0"/>
              <a:ea typeface="+mn-ea"/>
              <a:cs typeface="Arial" pitchFamily="34" charset="0"/>
            </a:rPr>
            <a:t>Fondi</a:t>
          </a:r>
          <a:r>
            <a:rPr lang="it-IT" sz="1600" b="0" i="0" baseline="0">
              <a:latin typeface="Arial" pitchFamily="34" charset="0"/>
              <a:ea typeface="+mn-ea"/>
              <a:cs typeface="Arial" pitchFamily="34" charset="0"/>
            </a:rPr>
            <a:t> per il trattamento accessorio</a:t>
          </a:r>
        </a:p>
        <a:p>
          <a:pPr algn="ctr" rtl="0">
            <a:defRPr sz="1000"/>
          </a:pPr>
          <a:r>
            <a:rPr lang="it-IT" sz="1600" b="1" i="0" strike="noStrike">
              <a:solidFill>
                <a:srgbClr val="000000"/>
              </a:solidFill>
              <a:latin typeface="Arial"/>
              <a:cs typeface="Arial"/>
            </a:rPr>
            <a:t>Macrocategoria: PERSONALE</a:t>
          </a:r>
          <a:r>
            <a:rPr lang="it-IT" sz="1600" b="1" i="0" strike="noStrike" baseline="0">
              <a:solidFill>
                <a:srgbClr val="000000"/>
              </a:solidFill>
              <a:latin typeface="Arial"/>
              <a:cs typeface="Arial"/>
            </a:rPr>
            <a:t> NON </a:t>
          </a:r>
          <a:r>
            <a:rPr lang="it-IT" sz="1600" b="1" i="0" strike="noStrike">
              <a:solidFill>
                <a:srgbClr val="000000"/>
              </a:solidFill>
              <a:latin typeface="Arial"/>
              <a:cs typeface="Arial"/>
            </a:rPr>
            <a:t>DIRIGENTE</a:t>
          </a:r>
        </a:p>
      </xdr:txBody>
    </xdr:sp>
    <xdr:clientData/>
  </xdr:twoCellAnchor>
  <xdr:twoCellAnchor>
    <xdr:from>
      <xdr:col>0</xdr:col>
      <xdr:colOff>0</xdr:colOff>
      <xdr:row>2</xdr:row>
      <xdr:rowOff>0</xdr:rowOff>
    </xdr:from>
    <xdr:to>
      <xdr:col>5</xdr:col>
      <xdr:colOff>200</xdr:colOff>
      <xdr:row>3</xdr:row>
      <xdr:rowOff>1587</xdr:rowOff>
    </xdr:to>
    <xdr:sp macro="" textlink="">
      <xdr:nvSpPr>
        <xdr:cNvPr id="3" name="Testo 3">
          <a:extLst>
            <a:ext uri="{FF2B5EF4-FFF2-40B4-BE49-F238E27FC236}">
              <a16:creationId xmlns:a16="http://schemas.microsoft.com/office/drawing/2014/main" xmlns="" id="{00000000-0008-0000-1500-000003000000}"/>
            </a:ext>
          </a:extLst>
        </xdr:cNvPr>
        <xdr:cNvSpPr txBox="1">
          <a:spLocks noChangeArrowheads="1"/>
        </xdr:cNvSpPr>
      </xdr:nvSpPr>
      <xdr:spPr bwMode="auto">
        <a:xfrm>
          <a:off x="0" y="742950"/>
          <a:ext cx="9487100" cy="563562"/>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a:t>
          </a:r>
          <a:r>
            <a:rPr lang="it-IT" sz="1600" b="1" i="0" strike="noStrike">
              <a:solidFill>
                <a:srgbClr val="000000"/>
              </a:solidFill>
              <a:latin typeface="Arial" pitchFamily="34" charset="0"/>
              <a:cs typeface="Arial" pitchFamily="34" charset="0"/>
            </a:rPr>
            <a:t>15 </a:t>
          </a:r>
          <a:r>
            <a:rPr lang="it-IT" sz="1600" b="1" i="0">
              <a:latin typeface="Arial" pitchFamily="34" charset="0"/>
              <a:ea typeface="+mn-ea"/>
              <a:cs typeface="Arial" pitchFamily="34" charset="0"/>
            </a:rPr>
            <a:t>- </a:t>
          </a:r>
          <a:r>
            <a:rPr lang="it-IT" sz="1600" b="0" i="0">
              <a:latin typeface="Arial" pitchFamily="34" charset="0"/>
              <a:ea typeface="+mn-ea"/>
              <a:cs typeface="Arial" pitchFamily="34" charset="0"/>
            </a:rPr>
            <a:t>Fondi</a:t>
          </a:r>
          <a:r>
            <a:rPr lang="it-IT" sz="1600" b="0" i="0" baseline="0">
              <a:latin typeface="Arial" pitchFamily="34" charset="0"/>
              <a:ea typeface="+mn-ea"/>
              <a:cs typeface="Arial" pitchFamily="34" charset="0"/>
            </a:rPr>
            <a:t> per il trattamento accessorio</a:t>
          </a:r>
        </a:p>
        <a:p>
          <a:pPr algn="ctr" rtl="0">
            <a:defRPr sz="1000"/>
          </a:pPr>
          <a:r>
            <a:rPr lang="it-IT" sz="1600" b="1" i="0" strike="noStrike">
              <a:solidFill>
                <a:srgbClr val="000000"/>
              </a:solidFill>
              <a:latin typeface="Arial"/>
              <a:cs typeface="Arial"/>
            </a:rPr>
            <a:t>Macrocategoria: PERSONALE</a:t>
          </a:r>
          <a:r>
            <a:rPr lang="it-IT" sz="1600" b="1" i="0" strike="noStrike" baseline="0">
              <a:solidFill>
                <a:srgbClr val="000000"/>
              </a:solidFill>
              <a:latin typeface="Arial"/>
              <a:cs typeface="Arial"/>
            </a:rPr>
            <a:t> NON </a:t>
          </a:r>
          <a:r>
            <a:rPr lang="it-IT" sz="1600" b="1" i="0" strike="noStrike">
              <a:solidFill>
                <a:srgbClr val="000000"/>
              </a:solidFill>
              <a:latin typeface="Arial"/>
              <a:cs typeface="Arial"/>
            </a:rPr>
            <a:t>DIRIGENTE</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1</xdr:row>
      <xdr:rowOff>38100</xdr:rowOff>
    </xdr:from>
    <xdr:to>
      <xdr:col>0</xdr:col>
      <xdr:colOff>4335773</xdr:colOff>
      <xdr:row>1</xdr:row>
      <xdr:rowOff>266700</xdr:rowOff>
    </xdr:to>
    <xdr:sp macro="" textlink="">
      <xdr:nvSpPr>
        <xdr:cNvPr id="2" name="Testo 4">
          <a:extLst>
            <a:ext uri="{FF2B5EF4-FFF2-40B4-BE49-F238E27FC236}">
              <a16:creationId xmlns:a16="http://schemas.microsoft.com/office/drawing/2014/main" xmlns="" id="{00000000-0008-0000-1800-000002000000}"/>
            </a:ext>
          </a:extLst>
        </xdr:cNvPr>
        <xdr:cNvSpPr txBox="1">
          <a:spLocks noChangeArrowheads="1"/>
        </xdr:cNvSpPr>
      </xdr:nvSpPr>
      <xdr:spPr bwMode="auto">
        <a:xfrm>
          <a:off x="0" y="590550"/>
          <a:ext cx="4658836" cy="2286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RICONCILIAZIONE</a:t>
          </a:r>
          <a:endParaRPr lang="it-IT" sz="1000" b="0" i="0" strike="noStrike">
            <a:solidFill>
              <a:srgbClr val="000000"/>
            </a:solidFill>
            <a:latin typeface="Arial"/>
            <a:cs typeface="Aria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0</xdr:colOff>
      <xdr:row>0</xdr:row>
      <xdr:rowOff>0</xdr:rowOff>
    </xdr:from>
    <xdr:to>
      <xdr:col>10</xdr:col>
      <xdr:colOff>0</xdr:colOff>
      <xdr:row>0</xdr:row>
      <xdr:rowOff>0</xdr:rowOff>
    </xdr:to>
    <xdr:sp macro="" textlink="">
      <xdr:nvSpPr>
        <xdr:cNvPr id="47105" name="Testo 4">
          <a:extLst>
            <a:ext uri="{FF2B5EF4-FFF2-40B4-BE49-F238E27FC236}">
              <a16:creationId xmlns:a16="http://schemas.microsoft.com/office/drawing/2014/main" xmlns="" id="{00000000-0008-0000-1A00-000001B80000}"/>
            </a:ext>
          </a:extLst>
        </xdr:cNvPr>
        <xdr:cNvSpPr txBox="1">
          <a:spLocks noChangeArrowheads="1"/>
        </xdr:cNvSpPr>
      </xdr:nvSpPr>
      <xdr:spPr bwMode="auto">
        <a:xfrm>
          <a:off x="892492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10</xdr:col>
      <xdr:colOff>0</xdr:colOff>
      <xdr:row>0</xdr:row>
      <xdr:rowOff>0</xdr:rowOff>
    </xdr:from>
    <xdr:to>
      <xdr:col>10</xdr:col>
      <xdr:colOff>0</xdr:colOff>
      <xdr:row>0</xdr:row>
      <xdr:rowOff>0</xdr:rowOff>
    </xdr:to>
    <xdr:sp macro="" textlink="">
      <xdr:nvSpPr>
        <xdr:cNvPr id="47108" name="Testo 2">
          <a:extLst>
            <a:ext uri="{FF2B5EF4-FFF2-40B4-BE49-F238E27FC236}">
              <a16:creationId xmlns:a16="http://schemas.microsoft.com/office/drawing/2014/main" xmlns="" id="{00000000-0008-0000-1A00-000004B80000}"/>
            </a:ext>
          </a:extLst>
        </xdr:cNvPr>
        <xdr:cNvSpPr>
          <a:spLocks noChangeArrowheads="1"/>
        </xdr:cNvSpPr>
      </xdr:nvSpPr>
      <xdr:spPr bwMode="auto">
        <a:xfrm>
          <a:off x="892492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16</xdr:col>
      <xdr:colOff>0</xdr:colOff>
      <xdr:row>0</xdr:row>
      <xdr:rowOff>0</xdr:rowOff>
    </xdr:from>
    <xdr:to>
      <xdr:col>16</xdr:col>
      <xdr:colOff>0</xdr:colOff>
      <xdr:row>0</xdr:row>
      <xdr:rowOff>0</xdr:rowOff>
    </xdr:to>
    <xdr:sp macro="" textlink="">
      <xdr:nvSpPr>
        <xdr:cNvPr id="48129" name="Testo 4">
          <a:extLst>
            <a:ext uri="{FF2B5EF4-FFF2-40B4-BE49-F238E27FC236}">
              <a16:creationId xmlns:a16="http://schemas.microsoft.com/office/drawing/2014/main" xmlns="" id="{00000000-0008-0000-1C00-000001BC0000}"/>
            </a:ext>
          </a:extLst>
        </xdr:cNvPr>
        <xdr:cNvSpPr txBox="1">
          <a:spLocks noChangeArrowheads="1"/>
        </xdr:cNvSpPr>
      </xdr:nvSpPr>
      <xdr:spPr bwMode="auto">
        <a:xfrm>
          <a:off x="1145857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16</xdr:col>
      <xdr:colOff>0</xdr:colOff>
      <xdr:row>0</xdr:row>
      <xdr:rowOff>0</xdr:rowOff>
    </xdr:from>
    <xdr:to>
      <xdr:col>16</xdr:col>
      <xdr:colOff>0</xdr:colOff>
      <xdr:row>0</xdr:row>
      <xdr:rowOff>0</xdr:rowOff>
    </xdr:to>
    <xdr:sp macro="" textlink="">
      <xdr:nvSpPr>
        <xdr:cNvPr id="48132" name="Testo 2">
          <a:extLst>
            <a:ext uri="{FF2B5EF4-FFF2-40B4-BE49-F238E27FC236}">
              <a16:creationId xmlns:a16="http://schemas.microsoft.com/office/drawing/2014/main" xmlns="" id="{00000000-0008-0000-1C00-000004BC0000}"/>
            </a:ext>
          </a:extLst>
        </xdr:cNvPr>
        <xdr:cNvSpPr>
          <a:spLocks noChangeArrowheads="1"/>
        </xdr:cNvSpPr>
      </xdr:nvSpPr>
      <xdr:spPr bwMode="auto">
        <a:xfrm>
          <a:off x="1145857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0</xdr:colOff>
      <xdr:row>0</xdr:row>
      <xdr:rowOff>0</xdr:rowOff>
    </xdr:to>
    <xdr:sp macro="" textlink="">
      <xdr:nvSpPr>
        <xdr:cNvPr id="49153" name="Testo 4">
          <a:extLst>
            <a:ext uri="{FF2B5EF4-FFF2-40B4-BE49-F238E27FC236}">
              <a16:creationId xmlns:a16="http://schemas.microsoft.com/office/drawing/2014/main" xmlns="" id="{00000000-0008-0000-1D00-000001C00000}"/>
            </a:ext>
          </a:extLst>
        </xdr:cNvPr>
        <xdr:cNvSpPr txBox="1">
          <a:spLocks noChangeArrowheads="1"/>
        </xdr:cNvSpPr>
      </xdr:nvSpPr>
      <xdr:spPr bwMode="auto">
        <a:xfrm>
          <a:off x="745807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9156" name="Testo 2">
          <a:extLst>
            <a:ext uri="{FF2B5EF4-FFF2-40B4-BE49-F238E27FC236}">
              <a16:creationId xmlns:a16="http://schemas.microsoft.com/office/drawing/2014/main" xmlns="" id="{00000000-0008-0000-1D00-000004C00000}"/>
            </a:ext>
          </a:extLst>
        </xdr:cNvPr>
        <xdr:cNvSpPr>
          <a:spLocks noChangeArrowheads="1"/>
        </xdr:cNvSpPr>
      </xdr:nvSpPr>
      <xdr:spPr bwMode="auto">
        <a:xfrm>
          <a:off x="745807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sp macro="" textlink="">
      <xdr:nvSpPr>
        <xdr:cNvPr id="51201" name="Testo 4">
          <a:extLst>
            <a:ext uri="{FF2B5EF4-FFF2-40B4-BE49-F238E27FC236}">
              <a16:creationId xmlns:a16="http://schemas.microsoft.com/office/drawing/2014/main" xmlns="" id="{00000000-0008-0000-2000-000001C80000}"/>
            </a:ext>
          </a:extLst>
        </xdr:cNvPr>
        <xdr:cNvSpPr txBox="1">
          <a:spLocks noChangeArrowheads="1"/>
        </xdr:cNvSpPr>
      </xdr:nvSpPr>
      <xdr:spPr bwMode="auto">
        <a:xfrm>
          <a:off x="6305550"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a:p>
          <a:pPr algn="ctr" rtl="0">
            <a:defRPr sz="1000"/>
          </a:pPr>
          <a:endParaRPr lang="it-IT" sz="1000" b="1" i="0" strike="noStrike">
            <a:solidFill>
              <a:srgbClr val="000000"/>
            </a:solidFill>
            <a:latin typeface="Arial"/>
            <a:cs typeface="Arial"/>
          </a:endParaRPr>
        </a:p>
      </xdr:txBody>
    </xdr:sp>
    <xdr:clientData/>
  </xdr:twoCellAnchor>
  <xdr:twoCellAnchor>
    <xdr:from>
      <xdr:col>4</xdr:col>
      <xdr:colOff>0</xdr:colOff>
      <xdr:row>0</xdr:row>
      <xdr:rowOff>0</xdr:rowOff>
    </xdr:from>
    <xdr:to>
      <xdr:col>4</xdr:col>
      <xdr:colOff>0</xdr:colOff>
      <xdr:row>0</xdr:row>
      <xdr:rowOff>0</xdr:rowOff>
    </xdr:to>
    <xdr:sp macro="" textlink="">
      <xdr:nvSpPr>
        <xdr:cNvPr id="51204" name="Testo 2">
          <a:extLst>
            <a:ext uri="{FF2B5EF4-FFF2-40B4-BE49-F238E27FC236}">
              <a16:creationId xmlns:a16="http://schemas.microsoft.com/office/drawing/2014/main" xmlns="" id="{00000000-0008-0000-2000-000004C80000}"/>
            </a:ext>
          </a:extLst>
        </xdr:cNvPr>
        <xdr:cNvSpPr>
          <a:spLocks noChangeArrowheads="1"/>
        </xdr:cNvSpPr>
      </xdr:nvSpPr>
      <xdr:spPr bwMode="auto">
        <a:xfrm>
          <a:off x="6305550"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sp macro="" textlink="">
      <xdr:nvSpPr>
        <xdr:cNvPr id="2" name="Testo 4">
          <a:extLst>
            <a:ext uri="{FF2B5EF4-FFF2-40B4-BE49-F238E27FC236}">
              <a16:creationId xmlns:a16="http://schemas.microsoft.com/office/drawing/2014/main" xmlns="" id="{00000000-0008-0000-2900-000002000000}"/>
            </a:ext>
          </a:extLst>
        </xdr:cNvPr>
        <xdr:cNvSpPr txBox="1">
          <a:spLocks noChangeArrowheads="1"/>
        </xdr:cNvSpPr>
      </xdr:nvSpPr>
      <xdr:spPr bwMode="auto">
        <a:xfrm>
          <a:off x="8305800"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a:p>
          <a:pPr algn="ctr" rtl="0">
            <a:defRPr sz="1000"/>
          </a:pPr>
          <a:endParaRPr lang="it-IT" sz="1000" b="1" i="0" strike="noStrike">
            <a:solidFill>
              <a:srgbClr val="000000"/>
            </a:solidFill>
            <a:latin typeface="Arial"/>
            <a:cs typeface="Arial"/>
          </a:endParaRPr>
        </a:p>
      </xdr:txBody>
    </xdr:sp>
    <xdr:clientData/>
  </xdr:twoCellAnchor>
  <xdr:twoCellAnchor>
    <xdr:from>
      <xdr:col>4</xdr:col>
      <xdr:colOff>0</xdr:colOff>
      <xdr:row>0</xdr:row>
      <xdr:rowOff>0</xdr:rowOff>
    </xdr:from>
    <xdr:to>
      <xdr:col>4</xdr:col>
      <xdr:colOff>0</xdr:colOff>
      <xdr:row>0</xdr:row>
      <xdr:rowOff>0</xdr:rowOff>
    </xdr:to>
    <xdr:sp macro="" textlink="">
      <xdr:nvSpPr>
        <xdr:cNvPr id="3" name="Testo 2">
          <a:extLst>
            <a:ext uri="{FF2B5EF4-FFF2-40B4-BE49-F238E27FC236}">
              <a16:creationId xmlns:a16="http://schemas.microsoft.com/office/drawing/2014/main" xmlns="" id="{00000000-0008-0000-2900-000003000000}"/>
            </a:ext>
          </a:extLst>
        </xdr:cNvPr>
        <xdr:cNvSpPr>
          <a:spLocks noChangeArrowheads="1"/>
        </xdr:cNvSpPr>
      </xdr:nvSpPr>
      <xdr:spPr bwMode="auto">
        <a:xfrm>
          <a:off x="8305800"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xdr:colOff>
      <xdr:row>0</xdr:row>
      <xdr:rowOff>111760</xdr:rowOff>
    </xdr:from>
    <xdr:to>
      <xdr:col>6</xdr:col>
      <xdr:colOff>1028772</xdr:colOff>
      <xdr:row>0</xdr:row>
      <xdr:rowOff>649845</xdr:rowOff>
    </xdr:to>
    <xdr:sp macro="" textlink="">
      <xdr:nvSpPr>
        <xdr:cNvPr id="2" name="Testo 1">
          <a:extLst>
            <a:ext uri="{FF2B5EF4-FFF2-40B4-BE49-F238E27FC236}">
              <a16:creationId xmlns:a16="http://schemas.microsoft.com/office/drawing/2014/main" xmlns="" id="{00000000-0008-0000-0200-000002000000}"/>
            </a:ext>
          </a:extLst>
        </xdr:cNvPr>
        <xdr:cNvSpPr>
          <a:spLocks noChangeArrowheads="1"/>
        </xdr:cNvSpPr>
      </xdr:nvSpPr>
      <xdr:spPr bwMode="auto">
        <a:xfrm>
          <a:off x="358141" y="111760"/>
          <a:ext cx="8115371" cy="538085"/>
        </a:xfrm>
        <a:prstGeom prst="roundRect">
          <a:avLst>
            <a:gd name="adj" fmla="val 16667"/>
          </a:avLst>
        </a:prstGeom>
        <a:solidFill>
          <a:srgbClr val="C0C0C0"/>
        </a:solidFill>
        <a:ln w="9525">
          <a:solidFill>
            <a:srgbClr val="000000"/>
          </a:solidFill>
          <a:round/>
          <a:headEnd/>
          <a:tailEnd/>
        </a:ln>
        <a:effectLst>
          <a:outerShdw dist="35921" dir="2700000" algn="ctr" rotWithShape="0">
            <a:srgbClr val="000000"/>
          </a:outerShdw>
        </a:effectLst>
      </xdr:spPr>
      <xdr:txBody>
        <a:bodyPr vertOverflow="clip" wrap="square" lIns="45720" tIns="36576" rIns="45720" bIns="36576" anchor="ctr" upright="1"/>
        <a:lstStyle/>
        <a:p>
          <a:pPr algn="ctr" rtl="0">
            <a:defRPr sz="1000"/>
          </a:pPr>
          <a:r>
            <a:rPr lang="it-IT" sz="1800" b="1" i="0" strike="noStrike">
              <a:solidFill>
                <a:srgbClr val="000000"/>
              </a:solidFill>
              <a:latin typeface="Arial"/>
              <a:cs typeface="Arial"/>
            </a:rPr>
            <a:t>SCHEDA INFORMATIVA 1A</a:t>
          </a:r>
        </a:p>
      </xdr:txBody>
    </xdr:sp>
    <xdr:clientData/>
  </xdr:twoCellAnchor>
  <xdr:twoCellAnchor>
    <xdr:from>
      <xdr:col>6</xdr:col>
      <xdr:colOff>0</xdr:colOff>
      <xdr:row>2</xdr:row>
      <xdr:rowOff>0</xdr:rowOff>
    </xdr:from>
    <xdr:to>
      <xdr:col>6</xdr:col>
      <xdr:colOff>0</xdr:colOff>
      <xdr:row>2</xdr:row>
      <xdr:rowOff>0</xdr:rowOff>
    </xdr:to>
    <xdr:sp macro="" textlink="" fLocksText="0">
      <xdr:nvSpPr>
        <xdr:cNvPr id="3" name="Text Box 2">
          <a:extLst>
            <a:ext uri="{FF2B5EF4-FFF2-40B4-BE49-F238E27FC236}">
              <a16:creationId xmlns:a16="http://schemas.microsoft.com/office/drawing/2014/main" xmlns="" id="{00000000-0008-0000-0200-000003000000}"/>
            </a:ext>
          </a:extLst>
        </xdr:cNvPr>
        <xdr:cNvSpPr txBox="1">
          <a:spLocks noChangeArrowheads="1"/>
        </xdr:cNvSpPr>
      </xdr:nvSpPr>
      <xdr:spPr bwMode="auto">
        <a:xfrm>
          <a:off x="7444740" y="1112520"/>
          <a:ext cx="0" cy="0"/>
        </a:xfrm>
        <a:prstGeom prst="rect">
          <a:avLst/>
        </a:prstGeom>
        <a:solidFill>
          <a:srgbClr val="FFFFCC"/>
        </a:solidFill>
        <a:ln w="9525">
          <a:solidFill>
            <a:srgbClr val="000000"/>
          </a:solidFill>
          <a:miter lim="800000"/>
          <a:headEnd/>
          <a:tailEnd/>
        </a:ln>
      </xdr:spPr>
    </xdr:sp>
    <xdr:clientData fLocksWithSheet="0"/>
  </xdr:twoCellAnchor>
  <xdr:twoCellAnchor>
    <xdr:from>
      <xdr:col>6</xdr:col>
      <xdr:colOff>0</xdr:colOff>
      <xdr:row>2</xdr:row>
      <xdr:rowOff>0</xdr:rowOff>
    </xdr:from>
    <xdr:to>
      <xdr:col>6</xdr:col>
      <xdr:colOff>0</xdr:colOff>
      <xdr:row>2</xdr:row>
      <xdr:rowOff>0</xdr:rowOff>
    </xdr:to>
    <xdr:sp macro="" textlink="" fLocksText="0">
      <xdr:nvSpPr>
        <xdr:cNvPr id="4" name="Text Box 3">
          <a:extLst>
            <a:ext uri="{FF2B5EF4-FFF2-40B4-BE49-F238E27FC236}">
              <a16:creationId xmlns:a16="http://schemas.microsoft.com/office/drawing/2014/main" xmlns="" id="{00000000-0008-0000-0200-000004000000}"/>
            </a:ext>
          </a:extLst>
        </xdr:cNvPr>
        <xdr:cNvSpPr txBox="1">
          <a:spLocks noChangeArrowheads="1"/>
        </xdr:cNvSpPr>
      </xdr:nvSpPr>
      <xdr:spPr bwMode="auto">
        <a:xfrm>
          <a:off x="7444740" y="1112520"/>
          <a:ext cx="0" cy="0"/>
        </a:xfrm>
        <a:prstGeom prst="rect">
          <a:avLst/>
        </a:prstGeom>
        <a:solidFill>
          <a:srgbClr val="FFFFCC"/>
        </a:solidFill>
        <a:ln w="9525">
          <a:solidFill>
            <a:srgbClr val="000000"/>
          </a:solidFill>
          <a:miter lim="800000"/>
          <a:headEnd/>
          <a:tailEnd/>
        </a:ln>
      </xdr:spPr>
    </xdr:sp>
    <xdr:clientData fLocksWithSheet="0"/>
  </xdr:twoCellAnchor>
  <mc:AlternateContent xmlns:mc="http://schemas.openxmlformats.org/markup-compatibility/2006">
    <mc:Choice xmlns:a14="http://schemas.microsoft.com/office/drawing/2010/main" Requires="a14">
      <xdr:twoCellAnchor editAs="oneCell">
        <xdr:from>
          <xdr:col>5</xdr:col>
          <xdr:colOff>0</xdr:colOff>
          <xdr:row>10</xdr:row>
          <xdr:rowOff>0</xdr:rowOff>
        </xdr:from>
        <xdr:to>
          <xdr:col>7</xdr:col>
          <xdr:colOff>0</xdr:colOff>
          <xdr:row>11</xdr:row>
          <xdr:rowOff>0</xdr:rowOff>
        </xdr:to>
        <xdr:sp macro="" textlink="">
          <xdr:nvSpPr>
            <xdr:cNvPr id="2996225" name="Group Box 1" hidden="1">
              <a:extLst>
                <a:ext uri="{63B3BB69-23CF-44E3-9099-C40C66FF867C}">
                  <a14:compatExt spid="_x0000_s2996225"/>
                </a:ext>
                <a:ext uri="{FF2B5EF4-FFF2-40B4-BE49-F238E27FC236}">
                  <a16:creationId xmlns:a16="http://schemas.microsoft.com/office/drawing/2014/main" xmlns="" id="{00000000-0008-0000-0200-000001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10</xdr:row>
          <xdr:rowOff>9525</xdr:rowOff>
        </xdr:from>
        <xdr:to>
          <xdr:col>5</xdr:col>
          <xdr:colOff>790575</xdr:colOff>
          <xdr:row>10</xdr:row>
          <xdr:rowOff>238125</xdr:rowOff>
        </xdr:to>
        <xdr:sp macro="" textlink="">
          <xdr:nvSpPr>
            <xdr:cNvPr id="2996226" name="Option Button 2" hidden="1">
              <a:extLst>
                <a:ext uri="{63B3BB69-23CF-44E3-9099-C40C66FF867C}">
                  <a14:compatExt spid="_x0000_s2996226"/>
                </a:ext>
                <a:ext uri="{FF2B5EF4-FFF2-40B4-BE49-F238E27FC236}">
                  <a16:creationId xmlns:a16="http://schemas.microsoft.com/office/drawing/2014/main" xmlns="" id="{00000000-0008-0000-0200-000002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10</xdr:row>
          <xdr:rowOff>0</xdr:rowOff>
        </xdr:from>
        <xdr:to>
          <xdr:col>6</xdr:col>
          <xdr:colOff>733425</xdr:colOff>
          <xdr:row>10</xdr:row>
          <xdr:rowOff>219075</xdr:rowOff>
        </xdr:to>
        <xdr:sp macro="" textlink="">
          <xdr:nvSpPr>
            <xdr:cNvPr id="2996227" name="Option Button 3" hidden="1">
              <a:extLst>
                <a:ext uri="{63B3BB69-23CF-44E3-9099-C40C66FF867C}">
                  <a14:compatExt spid="_x0000_s2996227"/>
                </a:ext>
                <a:ext uri="{FF2B5EF4-FFF2-40B4-BE49-F238E27FC236}">
                  <a16:creationId xmlns:a16="http://schemas.microsoft.com/office/drawing/2014/main" xmlns="" id="{00000000-0008-0000-0200-000003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xdr:row>
          <xdr:rowOff>0</xdr:rowOff>
        </xdr:from>
        <xdr:to>
          <xdr:col>7</xdr:col>
          <xdr:colOff>0</xdr:colOff>
          <xdr:row>20</xdr:row>
          <xdr:rowOff>0</xdr:rowOff>
        </xdr:to>
        <xdr:sp macro="" textlink="">
          <xdr:nvSpPr>
            <xdr:cNvPr id="2996228" name="Group Box 4" hidden="1">
              <a:extLst>
                <a:ext uri="{63B3BB69-23CF-44E3-9099-C40C66FF867C}">
                  <a14:compatExt spid="_x0000_s2996228"/>
                </a:ext>
                <a:ext uri="{FF2B5EF4-FFF2-40B4-BE49-F238E27FC236}">
                  <a16:creationId xmlns:a16="http://schemas.microsoft.com/office/drawing/2014/main" xmlns="" id="{00000000-0008-0000-0200-000004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xdr:row>
          <xdr:rowOff>0</xdr:rowOff>
        </xdr:from>
        <xdr:to>
          <xdr:col>7</xdr:col>
          <xdr:colOff>0</xdr:colOff>
          <xdr:row>22</xdr:row>
          <xdr:rowOff>0</xdr:rowOff>
        </xdr:to>
        <xdr:sp macro="" textlink="">
          <xdr:nvSpPr>
            <xdr:cNvPr id="2996229" name="Group Box 5" hidden="1">
              <a:extLst>
                <a:ext uri="{63B3BB69-23CF-44E3-9099-C40C66FF867C}">
                  <a14:compatExt spid="_x0000_s2996229"/>
                </a:ext>
                <a:ext uri="{FF2B5EF4-FFF2-40B4-BE49-F238E27FC236}">
                  <a16:creationId xmlns:a16="http://schemas.microsoft.com/office/drawing/2014/main" xmlns="" id="{00000000-0008-0000-0200-000005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19</xdr:row>
          <xdr:rowOff>180975</xdr:rowOff>
        </xdr:from>
        <xdr:to>
          <xdr:col>5</xdr:col>
          <xdr:colOff>790575</xdr:colOff>
          <xdr:row>19</xdr:row>
          <xdr:rowOff>409575</xdr:rowOff>
        </xdr:to>
        <xdr:sp macro="" textlink="">
          <xdr:nvSpPr>
            <xdr:cNvPr id="2996230" name="Option Button 6" hidden="1">
              <a:extLst>
                <a:ext uri="{63B3BB69-23CF-44E3-9099-C40C66FF867C}">
                  <a14:compatExt spid="_x0000_s2996230"/>
                </a:ext>
                <a:ext uri="{FF2B5EF4-FFF2-40B4-BE49-F238E27FC236}">
                  <a16:creationId xmlns:a16="http://schemas.microsoft.com/office/drawing/2014/main" xmlns="" id="{00000000-0008-0000-0200-000006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19</xdr:row>
          <xdr:rowOff>180975</xdr:rowOff>
        </xdr:from>
        <xdr:to>
          <xdr:col>6</xdr:col>
          <xdr:colOff>790575</xdr:colOff>
          <xdr:row>19</xdr:row>
          <xdr:rowOff>409575</xdr:rowOff>
        </xdr:to>
        <xdr:sp macro="" textlink="">
          <xdr:nvSpPr>
            <xdr:cNvPr id="2996231" name="Option Button 7" hidden="1">
              <a:extLst>
                <a:ext uri="{63B3BB69-23CF-44E3-9099-C40C66FF867C}">
                  <a14:compatExt spid="_x0000_s2996231"/>
                </a:ext>
                <a:ext uri="{FF2B5EF4-FFF2-40B4-BE49-F238E27FC236}">
                  <a16:creationId xmlns:a16="http://schemas.microsoft.com/office/drawing/2014/main" xmlns="" id="{00000000-0008-0000-0200-000007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21</xdr:row>
          <xdr:rowOff>104775</xdr:rowOff>
        </xdr:from>
        <xdr:to>
          <xdr:col>5</xdr:col>
          <xdr:colOff>790575</xdr:colOff>
          <xdr:row>21</xdr:row>
          <xdr:rowOff>304800</xdr:rowOff>
        </xdr:to>
        <xdr:sp macro="" textlink="">
          <xdr:nvSpPr>
            <xdr:cNvPr id="2996232" name="Option Button 8" hidden="1">
              <a:extLst>
                <a:ext uri="{63B3BB69-23CF-44E3-9099-C40C66FF867C}">
                  <a14:compatExt spid="_x0000_s2996232"/>
                </a:ext>
                <a:ext uri="{FF2B5EF4-FFF2-40B4-BE49-F238E27FC236}">
                  <a16:creationId xmlns:a16="http://schemas.microsoft.com/office/drawing/2014/main" xmlns="" id="{00000000-0008-0000-0200-000008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21</xdr:row>
          <xdr:rowOff>76200</xdr:rowOff>
        </xdr:from>
        <xdr:to>
          <xdr:col>6</xdr:col>
          <xdr:colOff>771525</xdr:colOff>
          <xdr:row>21</xdr:row>
          <xdr:rowOff>276225</xdr:rowOff>
        </xdr:to>
        <xdr:sp macro="" textlink="">
          <xdr:nvSpPr>
            <xdr:cNvPr id="2996233" name="Option Button 9" hidden="1">
              <a:extLst>
                <a:ext uri="{63B3BB69-23CF-44E3-9099-C40C66FF867C}">
                  <a14:compatExt spid="_x0000_s2996233"/>
                </a:ext>
                <a:ext uri="{FF2B5EF4-FFF2-40B4-BE49-F238E27FC236}">
                  <a16:creationId xmlns:a16="http://schemas.microsoft.com/office/drawing/2014/main" xmlns="" id="{00000000-0008-0000-0200-000009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0</xdr:rowOff>
        </xdr:from>
        <xdr:to>
          <xdr:col>7</xdr:col>
          <xdr:colOff>0</xdr:colOff>
          <xdr:row>32</xdr:row>
          <xdr:rowOff>0</xdr:rowOff>
        </xdr:to>
        <xdr:sp macro="" textlink="">
          <xdr:nvSpPr>
            <xdr:cNvPr id="2996234" name="Group Box 10" hidden="1">
              <a:extLst>
                <a:ext uri="{63B3BB69-23CF-44E3-9099-C40C66FF867C}">
                  <a14:compatExt spid="_x0000_s2996234"/>
                </a:ext>
                <a:ext uri="{FF2B5EF4-FFF2-40B4-BE49-F238E27FC236}">
                  <a16:creationId xmlns:a16="http://schemas.microsoft.com/office/drawing/2014/main" xmlns="" id="{00000000-0008-0000-0200-00000A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33</xdr:row>
          <xdr:rowOff>0</xdr:rowOff>
        </xdr:from>
        <xdr:to>
          <xdr:col>7</xdr:col>
          <xdr:colOff>0</xdr:colOff>
          <xdr:row>34</xdr:row>
          <xdr:rowOff>0</xdr:rowOff>
        </xdr:to>
        <xdr:sp macro="" textlink="">
          <xdr:nvSpPr>
            <xdr:cNvPr id="2996235" name="Group Box 11" hidden="1">
              <a:extLst>
                <a:ext uri="{63B3BB69-23CF-44E3-9099-C40C66FF867C}">
                  <a14:compatExt spid="_x0000_s2996235"/>
                </a:ext>
                <a:ext uri="{FF2B5EF4-FFF2-40B4-BE49-F238E27FC236}">
                  <a16:creationId xmlns:a16="http://schemas.microsoft.com/office/drawing/2014/main" xmlns="" id="{00000000-0008-0000-0200-00000B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31</xdr:row>
          <xdr:rowOff>104775</xdr:rowOff>
        </xdr:from>
        <xdr:to>
          <xdr:col>5</xdr:col>
          <xdr:colOff>809625</xdr:colOff>
          <xdr:row>31</xdr:row>
          <xdr:rowOff>304800</xdr:rowOff>
        </xdr:to>
        <xdr:sp macro="" textlink="">
          <xdr:nvSpPr>
            <xdr:cNvPr id="2996236" name="Option Button 12" hidden="1">
              <a:extLst>
                <a:ext uri="{63B3BB69-23CF-44E3-9099-C40C66FF867C}">
                  <a14:compatExt spid="_x0000_s2996236"/>
                </a:ext>
                <a:ext uri="{FF2B5EF4-FFF2-40B4-BE49-F238E27FC236}">
                  <a16:creationId xmlns:a16="http://schemas.microsoft.com/office/drawing/2014/main" xmlns="" id="{00000000-0008-0000-0200-00000C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31</xdr:row>
          <xdr:rowOff>104775</xdr:rowOff>
        </xdr:from>
        <xdr:to>
          <xdr:col>6</xdr:col>
          <xdr:colOff>790575</xdr:colOff>
          <xdr:row>31</xdr:row>
          <xdr:rowOff>304800</xdr:rowOff>
        </xdr:to>
        <xdr:sp macro="" textlink="">
          <xdr:nvSpPr>
            <xdr:cNvPr id="2996237" name="Option Button 13" hidden="1">
              <a:extLst>
                <a:ext uri="{63B3BB69-23CF-44E3-9099-C40C66FF867C}">
                  <a14:compatExt spid="_x0000_s2996237"/>
                </a:ext>
                <a:ext uri="{FF2B5EF4-FFF2-40B4-BE49-F238E27FC236}">
                  <a16:creationId xmlns:a16="http://schemas.microsoft.com/office/drawing/2014/main" xmlns="" id="{00000000-0008-0000-0200-00000D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33</xdr:row>
          <xdr:rowOff>9525</xdr:rowOff>
        </xdr:from>
        <xdr:to>
          <xdr:col>5</xdr:col>
          <xdr:colOff>809625</xdr:colOff>
          <xdr:row>33</xdr:row>
          <xdr:rowOff>238125</xdr:rowOff>
        </xdr:to>
        <xdr:sp macro="" textlink="">
          <xdr:nvSpPr>
            <xdr:cNvPr id="2996238" name="Option Button 14" hidden="1">
              <a:extLst>
                <a:ext uri="{63B3BB69-23CF-44E3-9099-C40C66FF867C}">
                  <a14:compatExt spid="_x0000_s2996238"/>
                </a:ext>
                <a:ext uri="{FF2B5EF4-FFF2-40B4-BE49-F238E27FC236}">
                  <a16:creationId xmlns:a16="http://schemas.microsoft.com/office/drawing/2014/main" xmlns="" id="{00000000-0008-0000-0200-00000E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33</xdr:row>
          <xdr:rowOff>9525</xdr:rowOff>
        </xdr:from>
        <xdr:to>
          <xdr:col>6</xdr:col>
          <xdr:colOff>790575</xdr:colOff>
          <xdr:row>33</xdr:row>
          <xdr:rowOff>238125</xdr:rowOff>
        </xdr:to>
        <xdr:sp macro="" textlink="">
          <xdr:nvSpPr>
            <xdr:cNvPr id="2996239" name="Option Button 15" hidden="1">
              <a:extLst>
                <a:ext uri="{63B3BB69-23CF-44E3-9099-C40C66FF867C}">
                  <a14:compatExt spid="_x0000_s2996239"/>
                </a:ext>
                <a:ext uri="{FF2B5EF4-FFF2-40B4-BE49-F238E27FC236}">
                  <a16:creationId xmlns:a16="http://schemas.microsoft.com/office/drawing/2014/main" xmlns="" id="{00000000-0008-0000-0200-00000F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83</xdr:row>
          <xdr:rowOff>0</xdr:rowOff>
        </xdr:from>
        <xdr:to>
          <xdr:col>7</xdr:col>
          <xdr:colOff>0</xdr:colOff>
          <xdr:row>84</xdr:row>
          <xdr:rowOff>0</xdr:rowOff>
        </xdr:to>
        <xdr:sp macro="" textlink="">
          <xdr:nvSpPr>
            <xdr:cNvPr id="2996240" name="Group Box 16" hidden="1">
              <a:extLst>
                <a:ext uri="{63B3BB69-23CF-44E3-9099-C40C66FF867C}">
                  <a14:compatExt spid="_x0000_s2996240"/>
                </a:ext>
                <a:ext uri="{FF2B5EF4-FFF2-40B4-BE49-F238E27FC236}">
                  <a16:creationId xmlns:a16="http://schemas.microsoft.com/office/drawing/2014/main" xmlns="" id="{00000000-0008-0000-0200-000010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83</xdr:row>
          <xdr:rowOff>123825</xdr:rowOff>
        </xdr:from>
        <xdr:to>
          <xdr:col>5</xdr:col>
          <xdr:colOff>790575</xdr:colOff>
          <xdr:row>84</xdr:row>
          <xdr:rowOff>0</xdr:rowOff>
        </xdr:to>
        <xdr:sp macro="" textlink="">
          <xdr:nvSpPr>
            <xdr:cNvPr id="2996241" name="Option Button 17" hidden="1">
              <a:extLst>
                <a:ext uri="{63B3BB69-23CF-44E3-9099-C40C66FF867C}">
                  <a14:compatExt spid="_x0000_s2996241"/>
                </a:ext>
                <a:ext uri="{FF2B5EF4-FFF2-40B4-BE49-F238E27FC236}">
                  <a16:creationId xmlns:a16="http://schemas.microsoft.com/office/drawing/2014/main" xmlns="" id="{00000000-0008-0000-0200-000011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83</xdr:row>
          <xdr:rowOff>85725</xdr:rowOff>
        </xdr:from>
        <xdr:to>
          <xdr:col>6</xdr:col>
          <xdr:colOff>714375</xdr:colOff>
          <xdr:row>84</xdr:row>
          <xdr:rowOff>0</xdr:rowOff>
        </xdr:to>
        <xdr:sp macro="" textlink="">
          <xdr:nvSpPr>
            <xdr:cNvPr id="2996242" name="Option Button 18" hidden="1">
              <a:extLst>
                <a:ext uri="{63B3BB69-23CF-44E3-9099-C40C66FF867C}">
                  <a14:compatExt spid="_x0000_s2996242"/>
                </a:ext>
                <a:ext uri="{FF2B5EF4-FFF2-40B4-BE49-F238E27FC236}">
                  <a16:creationId xmlns:a16="http://schemas.microsoft.com/office/drawing/2014/main" xmlns="" id="{00000000-0008-0000-0200-000012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85</xdr:row>
          <xdr:rowOff>0</xdr:rowOff>
        </xdr:from>
        <xdr:to>
          <xdr:col>7</xdr:col>
          <xdr:colOff>0</xdr:colOff>
          <xdr:row>86</xdr:row>
          <xdr:rowOff>0</xdr:rowOff>
        </xdr:to>
        <xdr:sp macro="" textlink="">
          <xdr:nvSpPr>
            <xdr:cNvPr id="2996243" name="Group Box 19" hidden="1">
              <a:extLst>
                <a:ext uri="{63B3BB69-23CF-44E3-9099-C40C66FF867C}">
                  <a14:compatExt spid="_x0000_s2996243"/>
                </a:ext>
                <a:ext uri="{FF2B5EF4-FFF2-40B4-BE49-F238E27FC236}">
                  <a16:creationId xmlns:a16="http://schemas.microsoft.com/office/drawing/2014/main" xmlns="" id="{00000000-0008-0000-0200-000013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85</xdr:row>
          <xdr:rowOff>123825</xdr:rowOff>
        </xdr:from>
        <xdr:to>
          <xdr:col>5</xdr:col>
          <xdr:colOff>790575</xdr:colOff>
          <xdr:row>86</xdr:row>
          <xdr:rowOff>0</xdr:rowOff>
        </xdr:to>
        <xdr:sp macro="" textlink="">
          <xdr:nvSpPr>
            <xdr:cNvPr id="2996244" name="Option Button 20" hidden="1">
              <a:extLst>
                <a:ext uri="{63B3BB69-23CF-44E3-9099-C40C66FF867C}">
                  <a14:compatExt spid="_x0000_s2996244"/>
                </a:ext>
                <a:ext uri="{FF2B5EF4-FFF2-40B4-BE49-F238E27FC236}">
                  <a16:creationId xmlns:a16="http://schemas.microsoft.com/office/drawing/2014/main" xmlns="" id="{00000000-0008-0000-0200-000014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85</xdr:row>
          <xdr:rowOff>85725</xdr:rowOff>
        </xdr:from>
        <xdr:to>
          <xdr:col>6</xdr:col>
          <xdr:colOff>723900</xdr:colOff>
          <xdr:row>86</xdr:row>
          <xdr:rowOff>0</xdr:rowOff>
        </xdr:to>
        <xdr:sp macro="" textlink="">
          <xdr:nvSpPr>
            <xdr:cNvPr id="2996245" name="Option Button 21" hidden="1">
              <a:extLst>
                <a:ext uri="{63B3BB69-23CF-44E3-9099-C40C66FF867C}">
                  <a14:compatExt spid="_x0000_s2996245"/>
                </a:ext>
                <a:ext uri="{FF2B5EF4-FFF2-40B4-BE49-F238E27FC236}">
                  <a16:creationId xmlns:a16="http://schemas.microsoft.com/office/drawing/2014/main" xmlns="" id="{00000000-0008-0000-0200-000015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87</xdr:row>
          <xdr:rowOff>0</xdr:rowOff>
        </xdr:from>
        <xdr:to>
          <xdr:col>7</xdr:col>
          <xdr:colOff>0</xdr:colOff>
          <xdr:row>88</xdr:row>
          <xdr:rowOff>0</xdr:rowOff>
        </xdr:to>
        <xdr:sp macro="" textlink="">
          <xdr:nvSpPr>
            <xdr:cNvPr id="2996246" name="Group Box 22" hidden="1">
              <a:extLst>
                <a:ext uri="{63B3BB69-23CF-44E3-9099-C40C66FF867C}">
                  <a14:compatExt spid="_x0000_s2996246"/>
                </a:ext>
                <a:ext uri="{FF2B5EF4-FFF2-40B4-BE49-F238E27FC236}">
                  <a16:creationId xmlns:a16="http://schemas.microsoft.com/office/drawing/2014/main" xmlns="" id="{00000000-0008-0000-0200-000016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87</xdr:row>
          <xdr:rowOff>85725</xdr:rowOff>
        </xdr:from>
        <xdr:to>
          <xdr:col>5</xdr:col>
          <xdr:colOff>809625</xdr:colOff>
          <xdr:row>88</xdr:row>
          <xdr:rowOff>0</xdr:rowOff>
        </xdr:to>
        <xdr:sp macro="" textlink="">
          <xdr:nvSpPr>
            <xdr:cNvPr id="2996247" name="Option Button 23" hidden="1">
              <a:extLst>
                <a:ext uri="{63B3BB69-23CF-44E3-9099-C40C66FF867C}">
                  <a14:compatExt spid="_x0000_s2996247"/>
                </a:ext>
                <a:ext uri="{FF2B5EF4-FFF2-40B4-BE49-F238E27FC236}">
                  <a16:creationId xmlns:a16="http://schemas.microsoft.com/office/drawing/2014/main" xmlns="" id="{00000000-0008-0000-0200-000017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87</xdr:row>
          <xdr:rowOff>85725</xdr:rowOff>
        </xdr:from>
        <xdr:to>
          <xdr:col>6</xdr:col>
          <xdr:colOff>752475</xdr:colOff>
          <xdr:row>88</xdr:row>
          <xdr:rowOff>0</xdr:rowOff>
        </xdr:to>
        <xdr:sp macro="" textlink="">
          <xdr:nvSpPr>
            <xdr:cNvPr id="2996248" name="Option Button 24" hidden="1">
              <a:extLst>
                <a:ext uri="{63B3BB69-23CF-44E3-9099-C40C66FF867C}">
                  <a14:compatExt spid="_x0000_s2996248"/>
                </a:ext>
                <a:ext uri="{FF2B5EF4-FFF2-40B4-BE49-F238E27FC236}">
                  <a16:creationId xmlns:a16="http://schemas.microsoft.com/office/drawing/2014/main" xmlns="" id="{00000000-0008-0000-0200-000018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89</xdr:row>
          <xdr:rowOff>0</xdr:rowOff>
        </xdr:from>
        <xdr:to>
          <xdr:col>7</xdr:col>
          <xdr:colOff>0</xdr:colOff>
          <xdr:row>90</xdr:row>
          <xdr:rowOff>0</xdr:rowOff>
        </xdr:to>
        <xdr:sp macro="" textlink="">
          <xdr:nvSpPr>
            <xdr:cNvPr id="2996249" name="Group Box 25" hidden="1">
              <a:extLst>
                <a:ext uri="{63B3BB69-23CF-44E3-9099-C40C66FF867C}">
                  <a14:compatExt spid="_x0000_s2996249"/>
                </a:ext>
                <a:ext uri="{FF2B5EF4-FFF2-40B4-BE49-F238E27FC236}">
                  <a16:creationId xmlns:a16="http://schemas.microsoft.com/office/drawing/2014/main" xmlns="" id="{00000000-0008-0000-0200-000019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91</xdr:row>
          <xdr:rowOff>0</xdr:rowOff>
        </xdr:from>
        <xdr:to>
          <xdr:col>7</xdr:col>
          <xdr:colOff>0</xdr:colOff>
          <xdr:row>92</xdr:row>
          <xdr:rowOff>0</xdr:rowOff>
        </xdr:to>
        <xdr:sp macro="" textlink="">
          <xdr:nvSpPr>
            <xdr:cNvPr id="2996250" name="Group Box 26" hidden="1">
              <a:extLst>
                <a:ext uri="{63B3BB69-23CF-44E3-9099-C40C66FF867C}">
                  <a14:compatExt spid="_x0000_s2996250"/>
                </a:ext>
                <a:ext uri="{FF2B5EF4-FFF2-40B4-BE49-F238E27FC236}">
                  <a16:creationId xmlns:a16="http://schemas.microsoft.com/office/drawing/2014/main" xmlns="" id="{00000000-0008-0000-0200-00001A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93</xdr:row>
          <xdr:rowOff>0</xdr:rowOff>
        </xdr:from>
        <xdr:to>
          <xdr:col>7</xdr:col>
          <xdr:colOff>0</xdr:colOff>
          <xdr:row>94</xdr:row>
          <xdr:rowOff>0</xdr:rowOff>
        </xdr:to>
        <xdr:sp macro="" textlink="">
          <xdr:nvSpPr>
            <xdr:cNvPr id="2996251" name="Group Box 27" hidden="1">
              <a:extLst>
                <a:ext uri="{63B3BB69-23CF-44E3-9099-C40C66FF867C}">
                  <a14:compatExt spid="_x0000_s2996251"/>
                </a:ext>
                <a:ext uri="{FF2B5EF4-FFF2-40B4-BE49-F238E27FC236}">
                  <a16:creationId xmlns:a16="http://schemas.microsoft.com/office/drawing/2014/main" xmlns="" id="{00000000-0008-0000-0200-00001B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95</xdr:row>
          <xdr:rowOff>0</xdr:rowOff>
        </xdr:from>
        <xdr:to>
          <xdr:col>7</xdr:col>
          <xdr:colOff>0</xdr:colOff>
          <xdr:row>96</xdr:row>
          <xdr:rowOff>0</xdr:rowOff>
        </xdr:to>
        <xdr:sp macro="" textlink="">
          <xdr:nvSpPr>
            <xdr:cNvPr id="2996252" name="Group Box 28" hidden="1">
              <a:extLst>
                <a:ext uri="{63B3BB69-23CF-44E3-9099-C40C66FF867C}">
                  <a14:compatExt spid="_x0000_s2996252"/>
                </a:ext>
                <a:ext uri="{FF2B5EF4-FFF2-40B4-BE49-F238E27FC236}">
                  <a16:creationId xmlns:a16="http://schemas.microsoft.com/office/drawing/2014/main" xmlns="" id="{00000000-0008-0000-0200-00001C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95</xdr:row>
          <xdr:rowOff>142875</xdr:rowOff>
        </xdr:from>
        <xdr:to>
          <xdr:col>5</xdr:col>
          <xdr:colOff>809625</xdr:colOff>
          <xdr:row>96</xdr:row>
          <xdr:rowOff>0</xdr:rowOff>
        </xdr:to>
        <xdr:sp macro="" textlink="">
          <xdr:nvSpPr>
            <xdr:cNvPr id="2996253" name="Option Button 29" hidden="1">
              <a:extLst>
                <a:ext uri="{63B3BB69-23CF-44E3-9099-C40C66FF867C}">
                  <a14:compatExt spid="_x0000_s2996253"/>
                </a:ext>
                <a:ext uri="{FF2B5EF4-FFF2-40B4-BE49-F238E27FC236}">
                  <a16:creationId xmlns:a16="http://schemas.microsoft.com/office/drawing/2014/main" xmlns="" id="{00000000-0008-0000-0200-00001D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95</xdr:row>
          <xdr:rowOff>152400</xdr:rowOff>
        </xdr:from>
        <xdr:to>
          <xdr:col>6</xdr:col>
          <xdr:colOff>752475</xdr:colOff>
          <xdr:row>96</xdr:row>
          <xdr:rowOff>0</xdr:rowOff>
        </xdr:to>
        <xdr:sp macro="" textlink="">
          <xdr:nvSpPr>
            <xdr:cNvPr id="2996254" name="Option Button 30" hidden="1">
              <a:extLst>
                <a:ext uri="{63B3BB69-23CF-44E3-9099-C40C66FF867C}">
                  <a14:compatExt spid="_x0000_s2996254"/>
                </a:ext>
                <a:ext uri="{FF2B5EF4-FFF2-40B4-BE49-F238E27FC236}">
                  <a16:creationId xmlns:a16="http://schemas.microsoft.com/office/drawing/2014/main" xmlns="" id="{00000000-0008-0000-0200-00001E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97</xdr:row>
          <xdr:rowOff>0</xdr:rowOff>
        </xdr:from>
        <xdr:to>
          <xdr:col>7</xdr:col>
          <xdr:colOff>0</xdr:colOff>
          <xdr:row>98</xdr:row>
          <xdr:rowOff>0</xdr:rowOff>
        </xdr:to>
        <xdr:sp macro="" textlink="">
          <xdr:nvSpPr>
            <xdr:cNvPr id="2996255" name="Group Box 31" hidden="1">
              <a:extLst>
                <a:ext uri="{63B3BB69-23CF-44E3-9099-C40C66FF867C}">
                  <a14:compatExt spid="_x0000_s2996255"/>
                </a:ext>
                <a:ext uri="{FF2B5EF4-FFF2-40B4-BE49-F238E27FC236}">
                  <a16:creationId xmlns:a16="http://schemas.microsoft.com/office/drawing/2014/main" xmlns="" id="{00000000-0008-0000-0200-00001F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99</xdr:row>
          <xdr:rowOff>0</xdr:rowOff>
        </xdr:from>
        <xdr:to>
          <xdr:col>7</xdr:col>
          <xdr:colOff>0</xdr:colOff>
          <xdr:row>100</xdr:row>
          <xdr:rowOff>0</xdr:rowOff>
        </xdr:to>
        <xdr:sp macro="" textlink="">
          <xdr:nvSpPr>
            <xdr:cNvPr id="2996256" name="Group Box 32" hidden="1">
              <a:extLst>
                <a:ext uri="{63B3BB69-23CF-44E3-9099-C40C66FF867C}">
                  <a14:compatExt spid="_x0000_s2996256"/>
                </a:ext>
                <a:ext uri="{FF2B5EF4-FFF2-40B4-BE49-F238E27FC236}">
                  <a16:creationId xmlns:a16="http://schemas.microsoft.com/office/drawing/2014/main" xmlns="" id="{00000000-0008-0000-0200-000020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101</xdr:row>
          <xdr:rowOff>0</xdr:rowOff>
        </xdr:from>
        <xdr:to>
          <xdr:col>7</xdr:col>
          <xdr:colOff>0</xdr:colOff>
          <xdr:row>102</xdr:row>
          <xdr:rowOff>0</xdr:rowOff>
        </xdr:to>
        <xdr:sp macro="" textlink="">
          <xdr:nvSpPr>
            <xdr:cNvPr id="2996257" name="Group Box 33" hidden="1">
              <a:extLst>
                <a:ext uri="{63B3BB69-23CF-44E3-9099-C40C66FF867C}">
                  <a14:compatExt spid="_x0000_s2996257"/>
                </a:ext>
                <a:ext uri="{FF2B5EF4-FFF2-40B4-BE49-F238E27FC236}">
                  <a16:creationId xmlns:a16="http://schemas.microsoft.com/office/drawing/2014/main" xmlns="" id="{00000000-0008-0000-0200-000021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101</xdr:row>
          <xdr:rowOff>142875</xdr:rowOff>
        </xdr:from>
        <xdr:to>
          <xdr:col>5</xdr:col>
          <xdr:colOff>790575</xdr:colOff>
          <xdr:row>102</xdr:row>
          <xdr:rowOff>0</xdr:rowOff>
        </xdr:to>
        <xdr:sp macro="" textlink="">
          <xdr:nvSpPr>
            <xdr:cNvPr id="2996258" name="Option Button 34" hidden="1">
              <a:extLst>
                <a:ext uri="{63B3BB69-23CF-44E3-9099-C40C66FF867C}">
                  <a14:compatExt spid="_x0000_s2996258"/>
                </a:ext>
                <a:ext uri="{FF2B5EF4-FFF2-40B4-BE49-F238E27FC236}">
                  <a16:creationId xmlns:a16="http://schemas.microsoft.com/office/drawing/2014/main" xmlns="" id="{00000000-0008-0000-0200-000022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101</xdr:row>
          <xdr:rowOff>161925</xdr:rowOff>
        </xdr:from>
        <xdr:to>
          <xdr:col>6</xdr:col>
          <xdr:colOff>714375</xdr:colOff>
          <xdr:row>102</xdr:row>
          <xdr:rowOff>0</xdr:rowOff>
        </xdr:to>
        <xdr:sp macro="" textlink="">
          <xdr:nvSpPr>
            <xdr:cNvPr id="2996259" name="Option Button 35" hidden="1">
              <a:extLst>
                <a:ext uri="{63B3BB69-23CF-44E3-9099-C40C66FF867C}">
                  <a14:compatExt spid="_x0000_s2996259"/>
                </a:ext>
                <a:ext uri="{FF2B5EF4-FFF2-40B4-BE49-F238E27FC236}">
                  <a16:creationId xmlns:a16="http://schemas.microsoft.com/office/drawing/2014/main" xmlns="" id="{00000000-0008-0000-0200-000023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103</xdr:row>
          <xdr:rowOff>0</xdr:rowOff>
        </xdr:from>
        <xdr:to>
          <xdr:col>7</xdr:col>
          <xdr:colOff>0</xdr:colOff>
          <xdr:row>104</xdr:row>
          <xdr:rowOff>0</xdr:rowOff>
        </xdr:to>
        <xdr:sp macro="" textlink="">
          <xdr:nvSpPr>
            <xdr:cNvPr id="2996260" name="Group Box 36" hidden="1">
              <a:extLst>
                <a:ext uri="{63B3BB69-23CF-44E3-9099-C40C66FF867C}">
                  <a14:compatExt spid="_x0000_s2996260"/>
                </a:ext>
                <a:ext uri="{FF2B5EF4-FFF2-40B4-BE49-F238E27FC236}">
                  <a16:creationId xmlns:a16="http://schemas.microsoft.com/office/drawing/2014/main" xmlns="" id="{00000000-0008-0000-0200-000024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103</xdr:row>
          <xdr:rowOff>85725</xdr:rowOff>
        </xdr:from>
        <xdr:to>
          <xdr:col>5</xdr:col>
          <xdr:colOff>809625</xdr:colOff>
          <xdr:row>104</xdr:row>
          <xdr:rowOff>0</xdr:rowOff>
        </xdr:to>
        <xdr:sp macro="" textlink="">
          <xdr:nvSpPr>
            <xdr:cNvPr id="2996261" name="Option Button 37" hidden="1">
              <a:extLst>
                <a:ext uri="{63B3BB69-23CF-44E3-9099-C40C66FF867C}">
                  <a14:compatExt spid="_x0000_s2996261"/>
                </a:ext>
                <a:ext uri="{FF2B5EF4-FFF2-40B4-BE49-F238E27FC236}">
                  <a16:creationId xmlns:a16="http://schemas.microsoft.com/office/drawing/2014/main" xmlns="" id="{00000000-0008-0000-0200-000025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103</xdr:row>
          <xdr:rowOff>85725</xdr:rowOff>
        </xdr:from>
        <xdr:to>
          <xdr:col>6</xdr:col>
          <xdr:colOff>752475</xdr:colOff>
          <xdr:row>104</xdr:row>
          <xdr:rowOff>0</xdr:rowOff>
        </xdr:to>
        <xdr:sp macro="" textlink="">
          <xdr:nvSpPr>
            <xdr:cNvPr id="2996262" name="Option Button 38" hidden="1">
              <a:extLst>
                <a:ext uri="{63B3BB69-23CF-44E3-9099-C40C66FF867C}">
                  <a14:compatExt spid="_x0000_s2996262"/>
                </a:ext>
                <a:ext uri="{FF2B5EF4-FFF2-40B4-BE49-F238E27FC236}">
                  <a16:creationId xmlns:a16="http://schemas.microsoft.com/office/drawing/2014/main" xmlns="" id="{00000000-0008-0000-0200-000026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89</xdr:row>
          <xdr:rowOff>104775</xdr:rowOff>
        </xdr:from>
        <xdr:to>
          <xdr:col>5</xdr:col>
          <xdr:colOff>828675</xdr:colOff>
          <xdr:row>89</xdr:row>
          <xdr:rowOff>333375</xdr:rowOff>
        </xdr:to>
        <xdr:sp macro="" textlink="">
          <xdr:nvSpPr>
            <xdr:cNvPr id="2996263" name="Option Button 39" hidden="1">
              <a:extLst>
                <a:ext uri="{63B3BB69-23CF-44E3-9099-C40C66FF867C}">
                  <a14:compatExt spid="_x0000_s2996263"/>
                </a:ext>
                <a:ext uri="{FF2B5EF4-FFF2-40B4-BE49-F238E27FC236}">
                  <a16:creationId xmlns:a16="http://schemas.microsoft.com/office/drawing/2014/main" xmlns="" id="{00000000-0008-0000-0200-000027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89</xdr:row>
          <xdr:rowOff>114300</xdr:rowOff>
        </xdr:from>
        <xdr:to>
          <xdr:col>6</xdr:col>
          <xdr:colOff>733425</xdr:colOff>
          <xdr:row>89</xdr:row>
          <xdr:rowOff>333375</xdr:rowOff>
        </xdr:to>
        <xdr:sp macro="" textlink="">
          <xdr:nvSpPr>
            <xdr:cNvPr id="2996264" name="Option Button 40" hidden="1">
              <a:extLst>
                <a:ext uri="{63B3BB69-23CF-44E3-9099-C40C66FF867C}">
                  <a14:compatExt spid="_x0000_s2996264"/>
                </a:ext>
                <a:ext uri="{FF2B5EF4-FFF2-40B4-BE49-F238E27FC236}">
                  <a16:creationId xmlns:a16="http://schemas.microsoft.com/office/drawing/2014/main" xmlns="" id="{00000000-0008-0000-0200-000028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91</xdr:row>
          <xdr:rowOff>114300</xdr:rowOff>
        </xdr:from>
        <xdr:to>
          <xdr:col>5</xdr:col>
          <xdr:colOff>771525</xdr:colOff>
          <xdr:row>91</xdr:row>
          <xdr:rowOff>333375</xdr:rowOff>
        </xdr:to>
        <xdr:sp macro="" textlink="">
          <xdr:nvSpPr>
            <xdr:cNvPr id="2996265" name="Option Button 41" hidden="1">
              <a:extLst>
                <a:ext uri="{63B3BB69-23CF-44E3-9099-C40C66FF867C}">
                  <a14:compatExt spid="_x0000_s2996265"/>
                </a:ext>
                <a:ext uri="{FF2B5EF4-FFF2-40B4-BE49-F238E27FC236}">
                  <a16:creationId xmlns:a16="http://schemas.microsoft.com/office/drawing/2014/main" xmlns="" id="{00000000-0008-0000-0200-000029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390525</xdr:colOff>
          <xdr:row>91</xdr:row>
          <xdr:rowOff>66675</xdr:rowOff>
        </xdr:from>
        <xdr:to>
          <xdr:col>6</xdr:col>
          <xdr:colOff>676275</xdr:colOff>
          <xdr:row>91</xdr:row>
          <xdr:rowOff>295275</xdr:rowOff>
        </xdr:to>
        <xdr:sp macro="" textlink="">
          <xdr:nvSpPr>
            <xdr:cNvPr id="2996266" name="Option Button 42" hidden="1">
              <a:extLst>
                <a:ext uri="{63B3BB69-23CF-44E3-9099-C40C66FF867C}">
                  <a14:compatExt spid="_x0000_s2996266"/>
                </a:ext>
                <a:ext uri="{FF2B5EF4-FFF2-40B4-BE49-F238E27FC236}">
                  <a16:creationId xmlns:a16="http://schemas.microsoft.com/office/drawing/2014/main" xmlns="" id="{00000000-0008-0000-0200-00002A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93</xdr:row>
          <xdr:rowOff>104775</xdr:rowOff>
        </xdr:from>
        <xdr:to>
          <xdr:col>5</xdr:col>
          <xdr:colOff>790575</xdr:colOff>
          <xdr:row>93</xdr:row>
          <xdr:rowOff>333375</xdr:rowOff>
        </xdr:to>
        <xdr:sp macro="" textlink="">
          <xdr:nvSpPr>
            <xdr:cNvPr id="2996267" name="Option Button 43" hidden="1">
              <a:extLst>
                <a:ext uri="{63B3BB69-23CF-44E3-9099-C40C66FF867C}">
                  <a14:compatExt spid="_x0000_s2996267"/>
                </a:ext>
                <a:ext uri="{FF2B5EF4-FFF2-40B4-BE49-F238E27FC236}">
                  <a16:creationId xmlns:a16="http://schemas.microsoft.com/office/drawing/2014/main" xmlns="" id="{00000000-0008-0000-0200-00002B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390525</xdr:colOff>
          <xdr:row>93</xdr:row>
          <xdr:rowOff>104775</xdr:rowOff>
        </xdr:from>
        <xdr:to>
          <xdr:col>6</xdr:col>
          <xdr:colOff>676275</xdr:colOff>
          <xdr:row>93</xdr:row>
          <xdr:rowOff>333375</xdr:rowOff>
        </xdr:to>
        <xdr:sp macro="" textlink="">
          <xdr:nvSpPr>
            <xdr:cNvPr id="2996268" name="Option Button 44" hidden="1">
              <a:extLst>
                <a:ext uri="{63B3BB69-23CF-44E3-9099-C40C66FF867C}">
                  <a14:compatExt spid="_x0000_s2996268"/>
                </a:ext>
                <a:ext uri="{FF2B5EF4-FFF2-40B4-BE49-F238E27FC236}">
                  <a16:creationId xmlns:a16="http://schemas.microsoft.com/office/drawing/2014/main" xmlns="" id="{00000000-0008-0000-0200-00002C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97</xdr:row>
          <xdr:rowOff>85725</xdr:rowOff>
        </xdr:from>
        <xdr:to>
          <xdr:col>5</xdr:col>
          <xdr:colOff>790575</xdr:colOff>
          <xdr:row>97</xdr:row>
          <xdr:rowOff>304800</xdr:rowOff>
        </xdr:to>
        <xdr:sp macro="" textlink="">
          <xdr:nvSpPr>
            <xdr:cNvPr id="2996269" name="Option Button 45" hidden="1">
              <a:extLst>
                <a:ext uri="{63B3BB69-23CF-44E3-9099-C40C66FF867C}">
                  <a14:compatExt spid="_x0000_s2996269"/>
                </a:ext>
                <a:ext uri="{FF2B5EF4-FFF2-40B4-BE49-F238E27FC236}">
                  <a16:creationId xmlns:a16="http://schemas.microsoft.com/office/drawing/2014/main" xmlns="" id="{00000000-0008-0000-0200-00002D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97</xdr:row>
          <xdr:rowOff>104775</xdr:rowOff>
        </xdr:from>
        <xdr:to>
          <xdr:col>6</xdr:col>
          <xdr:colOff>771525</xdr:colOff>
          <xdr:row>97</xdr:row>
          <xdr:rowOff>333375</xdr:rowOff>
        </xdr:to>
        <xdr:sp macro="" textlink="">
          <xdr:nvSpPr>
            <xdr:cNvPr id="2996270" name="Option Button 46" hidden="1">
              <a:extLst>
                <a:ext uri="{63B3BB69-23CF-44E3-9099-C40C66FF867C}">
                  <a14:compatExt spid="_x0000_s2996270"/>
                </a:ext>
                <a:ext uri="{FF2B5EF4-FFF2-40B4-BE49-F238E27FC236}">
                  <a16:creationId xmlns:a16="http://schemas.microsoft.com/office/drawing/2014/main" xmlns="" id="{00000000-0008-0000-0200-00002E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99</xdr:row>
          <xdr:rowOff>114300</xdr:rowOff>
        </xdr:from>
        <xdr:to>
          <xdr:col>5</xdr:col>
          <xdr:colOff>809625</xdr:colOff>
          <xdr:row>99</xdr:row>
          <xdr:rowOff>333375</xdr:rowOff>
        </xdr:to>
        <xdr:sp macro="" textlink="">
          <xdr:nvSpPr>
            <xdr:cNvPr id="2996271" name="Option Button 47" hidden="1">
              <a:extLst>
                <a:ext uri="{63B3BB69-23CF-44E3-9099-C40C66FF867C}">
                  <a14:compatExt spid="_x0000_s2996271"/>
                </a:ext>
                <a:ext uri="{FF2B5EF4-FFF2-40B4-BE49-F238E27FC236}">
                  <a16:creationId xmlns:a16="http://schemas.microsoft.com/office/drawing/2014/main" xmlns="" id="{00000000-0008-0000-0200-00002F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99</xdr:row>
          <xdr:rowOff>104775</xdr:rowOff>
        </xdr:from>
        <xdr:to>
          <xdr:col>6</xdr:col>
          <xdr:colOff>771525</xdr:colOff>
          <xdr:row>99</xdr:row>
          <xdr:rowOff>333375</xdr:rowOff>
        </xdr:to>
        <xdr:sp macro="" textlink="">
          <xdr:nvSpPr>
            <xdr:cNvPr id="2996272" name="Option Button 48" hidden="1">
              <a:extLst>
                <a:ext uri="{63B3BB69-23CF-44E3-9099-C40C66FF867C}">
                  <a14:compatExt spid="_x0000_s2996272"/>
                </a:ext>
                <a:ext uri="{FF2B5EF4-FFF2-40B4-BE49-F238E27FC236}">
                  <a16:creationId xmlns:a16="http://schemas.microsoft.com/office/drawing/2014/main" xmlns="" id="{00000000-0008-0000-0200-000030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46</xdr:row>
          <xdr:rowOff>0</xdr:rowOff>
        </xdr:from>
        <xdr:to>
          <xdr:col>7</xdr:col>
          <xdr:colOff>0</xdr:colOff>
          <xdr:row>47</xdr:row>
          <xdr:rowOff>0</xdr:rowOff>
        </xdr:to>
        <xdr:sp macro="" textlink="">
          <xdr:nvSpPr>
            <xdr:cNvPr id="2996273" name="Group Box 49" hidden="1">
              <a:extLst>
                <a:ext uri="{63B3BB69-23CF-44E3-9099-C40C66FF867C}">
                  <a14:compatExt spid="_x0000_s2996273"/>
                </a:ext>
                <a:ext uri="{FF2B5EF4-FFF2-40B4-BE49-F238E27FC236}">
                  <a16:creationId xmlns:a16="http://schemas.microsoft.com/office/drawing/2014/main" xmlns="" id="{00000000-0008-0000-0200-000031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46</xdr:row>
          <xdr:rowOff>9525</xdr:rowOff>
        </xdr:from>
        <xdr:to>
          <xdr:col>5</xdr:col>
          <xdr:colOff>809625</xdr:colOff>
          <xdr:row>46</xdr:row>
          <xdr:rowOff>238125</xdr:rowOff>
        </xdr:to>
        <xdr:sp macro="" textlink="">
          <xdr:nvSpPr>
            <xdr:cNvPr id="2996274" name="Option Button 50" hidden="1">
              <a:extLst>
                <a:ext uri="{63B3BB69-23CF-44E3-9099-C40C66FF867C}">
                  <a14:compatExt spid="_x0000_s2996274"/>
                </a:ext>
                <a:ext uri="{FF2B5EF4-FFF2-40B4-BE49-F238E27FC236}">
                  <a16:creationId xmlns:a16="http://schemas.microsoft.com/office/drawing/2014/main" xmlns="" id="{00000000-0008-0000-0200-000032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46</xdr:row>
          <xdr:rowOff>9525</xdr:rowOff>
        </xdr:from>
        <xdr:to>
          <xdr:col>6</xdr:col>
          <xdr:colOff>733425</xdr:colOff>
          <xdr:row>46</xdr:row>
          <xdr:rowOff>238125</xdr:rowOff>
        </xdr:to>
        <xdr:sp macro="" textlink="">
          <xdr:nvSpPr>
            <xdr:cNvPr id="2996275" name="Option Button 51" hidden="1">
              <a:extLst>
                <a:ext uri="{63B3BB69-23CF-44E3-9099-C40C66FF867C}">
                  <a14:compatExt spid="_x0000_s2996275"/>
                </a:ext>
                <a:ext uri="{FF2B5EF4-FFF2-40B4-BE49-F238E27FC236}">
                  <a16:creationId xmlns:a16="http://schemas.microsoft.com/office/drawing/2014/main" xmlns="" id="{00000000-0008-0000-0200-000033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48</xdr:row>
          <xdr:rowOff>0</xdr:rowOff>
        </xdr:from>
        <xdr:to>
          <xdr:col>7</xdr:col>
          <xdr:colOff>0</xdr:colOff>
          <xdr:row>49</xdr:row>
          <xdr:rowOff>0</xdr:rowOff>
        </xdr:to>
        <xdr:sp macro="" textlink="">
          <xdr:nvSpPr>
            <xdr:cNvPr id="2996276" name="Group Box 52" hidden="1">
              <a:extLst>
                <a:ext uri="{63B3BB69-23CF-44E3-9099-C40C66FF867C}">
                  <a14:compatExt spid="_x0000_s2996276"/>
                </a:ext>
                <a:ext uri="{FF2B5EF4-FFF2-40B4-BE49-F238E27FC236}">
                  <a16:creationId xmlns:a16="http://schemas.microsoft.com/office/drawing/2014/main" xmlns="" id="{00000000-0008-0000-0200-000034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48</xdr:row>
          <xdr:rowOff>142875</xdr:rowOff>
        </xdr:from>
        <xdr:to>
          <xdr:col>5</xdr:col>
          <xdr:colOff>828675</xdr:colOff>
          <xdr:row>48</xdr:row>
          <xdr:rowOff>371475</xdr:rowOff>
        </xdr:to>
        <xdr:sp macro="" textlink="">
          <xdr:nvSpPr>
            <xdr:cNvPr id="2996277" name="Option Button 53" hidden="1">
              <a:extLst>
                <a:ext uri="{63B3BB69-23CF-44E3-9099-C40C66FF867C}">
                  <a14:compatExt spid="_x0000_s2996277"/>
                </a:ext>
                <a:ext uri="{FF2B5EF4-FFF2-40B4-BE49-F238E27FC236}">
                  <a16:creationId xmlns:a16="http://schemas.microsoft.com/office/drawing/2014/main" xmlns="" id="{00000000-0008-0000-0200-000035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48</xdr:row>
          <xdr:rowOff>142875</xdr:rowOff>
        </xdr:from>
        <xdr:to>
          <xdr:col>6</xdr:col>
          <xdr:colOff>733425</xdr:colOff>
          <xdr:row>48</xdr:row>
          <xdr:rowOff>409575</xdr:rowOff>
        </xdr:to>
        <xdr:sp macro="" textlink="">
          <xdr:nvSpPr>
            <xdr:cNvPr id="2996278" name="Option Button 54" hidden="1">
              <a:extLst>
                <a:ext uri="{63B3BB69-23CF-44E3-9099-C40C66FF867C}">
                  <a14:compatExt spid="_x0000_s2996278"/>
                </a:ext>
                <a:ext uri="{FF2B5EF4-FFF2-40B4-BE49-F238E27FC236}">
                  <a16:creationId xmlns:a16="http://schemas.microsoft.com/office/drawing/2014/main" xmlns="" id="{00000000-0008-0000-0200-000036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51</xdr:row>
          <xdr:rowOff>0</xdr:rowOff>
        </xdr:from>
        <xdr:to>
          <xdr:col>7</xdr:col>
          <xdr:colOff>0</xdr:colOff>
          <xdr:row>61</xdr:row>
          <xdr:rowOff>0</xdr:rowOff>
        </xdr:to>
        <xdr:sp macro="" textlink="">
          <xdr:nvSpPr>
            <xdr:cNvPr id="2996279" name="Group Box 55" hidden="1">
              <a:extLst>
                <a:ext uri="{63B3BB69-23CF-44E3-9099-C40C66FF867C}">
                  <a14:compatExt spid="_x0000_s2996279"/>
                </a:ext>
                <a:ext uri="{FF2B5EF4-FFF2-40B4-BE49-F238E27FC236}">
                  <a16:creationId xmlns:a16="http://schemas.microsoft.com/office/drawing/2014/main" xmlns="" id="{00000000-0008-0000-0200-000037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51</xdr:row>
          <xdr:rowOff>28575</xdr:rowOff>
        </xdr:from>
        <xdr:to>
          <xdr:col>5</xdr:col>
          <xdr:colOff>809625</xdr:colOff>
          <xdr:row>51</xdr:row>
          <xdr:rowOff>257175</xdr:rowOff>
        </xdr:to>
        <xdr:sp macro="" textlink="">
          <xdr:nvSpPr>
            <xdr:cNvPr id="2996280" name="Option Button 56" hidden="1">
              <a:extLst>
                <a:ext uri="{63B3BB69-23CF-44E3-9099-C40C66FF867C}">
                  <a14:compatExt spid="_x0000_s2996280"/>
                </a:ext>
                <a:ext uri="{FF2B5EF4-FFF2-40B4-BE49-F238E27FC236}">
                  <a16:creationId xmlns:a16="http://schemas.microsoft.com/office/drawing/2014/main" xmlns="" id="{00000000-0008-0000-0200-000038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51</xdr:row>
          <xdr:rowOff>28575</xdr:rowOff>
        </xdr:from>
        <xdr:to>
          <xdr:col>6</xdr:col>
          <xdr:colOff>733425</xdr:colOff>
          <xdr:row>51</xdr:row>
          <xdr:rowOff>295275</xdr:rowOff>
        </xdr:to>
        <xdr:sp macro="" textlink="">
          <xdr:nvSpPr>
            <xdr:cNvPr id="2996281" name="Option Button 57" hidden="1">
              <a:extLst>
                <a:ext uri="{63B3BB69-23CF-44E3-9099-C40C66FF867C}">
                  <a14:compatExt spid="_x0000_s2996281"/>
                </a:ext>
                <a:ext uri="{FF2B5EF4-FFF2-40B4-BE49-F238E27FC236}">
                  <a16:creationId xmlns:a16="http://schemas.microsoft.com/office/drawing/2014/main" xmlns="" id="{00000000-0008-0000-0200-000039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161</xdr:row>
          <xdr:rowOff>0</xdr:rowOff>
        </xdr:from>
        <xdr:to>
          <xdr:col>6</xdr:col>
          <xdr:colOff>1114425</xdr:colOff>
          <xdr:row>162</xdr:row>
          <xdr:rowOff>9525</xdr:rowOff>
        </xdr:to>
        <xdr:sp macro="" textlink="">
          <xdr:nvSpPr>
            <xdr:cNvPr id="2996282" name="Group Box 58" hidden="1">
              <a:extLst>
                <a:ext uri="{63B3BB69-23CF-44E3-9099-C40C66FF867C}">
                  <a14:compatExt spid="_x0000_s2996282"/>
                </a:ext>
                <a:ext uri="{FF2B5EF4-FFF2-40B4-BE49-F238E27FC236}">
                  <a16:creationId xmlns:a16="http://schemas.microsoft.com/office/drawing/2014/main" xmlns="" id="{00000000-0008-0000-0200-00003A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161</xdr:row>
          <xdr:rowOff>9525</xdr:rowOff>
        </xdr:from>
        <xdr:to>
          <xdr:col>5</xdr:col>
          <xdr:colOff>733425</xdr:colOff>
          <xdr:row>161</xdr:row>
          <xdr:rowOff>200025</xdr:rowOff>
        </xdr:to>
        <xdr:sp macro="" textlink="">
          <xdr:nvSpPr>
            <xdr:cNvPr id="2996283" name="Option Button 59" hidden="1">
              <a:extLst>
                <a:ext uri="{63B3BB69-23CF-44E3-9099-C40C66FF867C}">
                  <a14:compatExt spid="_x0000_s2996283"/>
                </a:ext>
                <a:ext uri="{FF2B5EF4-FFF2-40B4-BE49-F238E27FC236}">
                  <a16:creationId xmlns:a16="http://schemas.microsoft.com/office/drawing/2014/main" xmlns="" id="{00000000-0008-0000-0200-00003B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161</xdr:row>
          <xdr:rowOff>9525</xdr:rowOff>
        </xdr:from>
        <xdr:to>
          <xdr:col>6</xdr:col>
          <xdr:colOff>714375</xdr:colOff>
          <xdr:row>162</xdr:row>
          <xdr:rowOff>0</xdr:rowOff>
        </xdr:to>
        <xdr:sp macro="" textlink="">
          <xdr:nvSpPr>
            <xdr:cNvPr id="2996284" name="Option Button 60" hidden="1">
              <a:extLst>
                <a:ext uri="{63B3BB69-23CF-44E3-9099-C40C66FF867C}">
                  <a14:compatExt spid="_x0000_s2996284"/>
                </a:ext>
                <a:ext uri="{FF2B5EF4-FFF2-40B4-BE49-F238E27FC236}">
                  <a16:creationId xmlns:a16="http://schemas.microsoft.com/office/drawing/2014/main" xmlns="" id="{00000000-0008-0000-0200-00003C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162</xdr:row>
          <xdr:rowOff>0</xdr:rowOff>
        </xdr:from>
        <xdr:to>
          <xdr:col>7</xdr:col>
          <xdr:colOff>0</xdr:colOff>
          <xdr:row>163</xdr:row>
          <xdr:rowOff>9525</xdr:rowOff>
        </xdr:to>
        <xdr:sp macro="" textlink="">
          <xdr:nvSpPr>
            <xdr:cNvPr id="2996285" name="Group Box 61" hidden="1">
              <a:extLst>
                <a:ext uri="{63B3BB69-23CF-44E3-9099-C40C66FF867C}">
                  <a14:compatExt spid="_x0000_s2996285"/>
                </a:ext>
                <a:ext uri="{FF2B5EF4-FFF2-40B4-BE49-F238E27FC236}">
                  <a16:creationId xmlns:a16="http://schemas.microsoft.com/office/drawing/2014/main" xmlns="" id="{00000000-0008-0000-0200-00003D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162</xdr:row>
          <xdr:rowOff>9525</xdr:rowOff>
        </xdr:from>
        <xdr:to>
          <xdr:col>5</xdr:col>
          <xdr:colOff>733425</xdr:colOff>
          <xdr:row>162</xdr:row>
          <xdr:rowOff>200025</xdr:rowOff>
        </xdr:to>
        <xdr:sp macro="" textlink="">
          <xdr:nvSpPr>
            <xdr:cNvPr id="2996286" name="Option Button 62" hidden="1">
              <a:extLst>
                <a:ext uri="{63B3BB69-23CF-44E3-9099-C40C66FF867C}">
                  <a14:compatExt spid="_x0000_s2996286"/>
                </a:ext>
                <a:ext uri="{FF2B5EF4-FFF2-40B4-BE49-F238E27FC236}">
                  <a16:creationId xmlns:a16="http://schemas.microsoft.com/office/drawing/2014/main" xmlns="" id="{00000000-0008-0000-0200-00003E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162</xdr:row>
          <xdr:rowOff>9525</xdr:rowOff>
        </xdr:from>
        <xdr:to>
          <xdr:col>6</xdr:col>
          <xdr:colOff>714375</xdr:colOff>
          <xdr:row>163</xdr:row>
          <xdr:rowOff>0</xdr:rowOff>
        </xdr:to>
        <xdr:sp macro="" textlink="">
          <xdr:nvSpPr>
            <xdr:cNvPr id="2996287" name="Option Button 63" hidden="1">
              <a:extLst>
                <a:ext uri="{63B3BB69-23CF-44E3-9099-C40C66FF867C}">
                  <a14:compatExt spid="_x0000_s2996287"/>
                </a:ext>
                <a:ext uri="{FF2B5EF4-FFF2-40B4-BE49-F238E27FC236}">
                  <a16:creationId xmlns:a16="http://schemas.microsoft.com/office/drawing/2014/main" xmlns="" id="{00000000-0008-0000-0200-00003F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163</xdr:row>
          <xdr:rowOff>0</xdr:rowOff>
        </xdr:from>
        <xdr:to>
          <xdr:col>7</xdr:col>
          <xdr:colOff>0</xdr:colOff>
          <xdr:row>164</xdr:row>
          <xdr:rowOff>9525</xdr:rowOff>
        </xdr:to>
        <xdr:sp macro="" textlink="">
          <xdr:nvSpPr>
            <xdr:cNvPr id="2996288" name="Group Box 64" hidden="1">
              <a:extLst>
                <a:ext uri="{63B3BB69-23CF-44E3-9099-C40C66FF867C}">
                  <a14:compatExt spid="_x0000_s2996288"/>
                </a:ext>
                <a:ext uri="{FF2B5EF4-FFF2-40B4-BE49-F238E27FC236}">
                  <a16:creationId xmlns:a16="http://schemas.microsoft.com/office/drawing/2014/main" xmlns="" id="{00000000-0008-0000-0200-000040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163</xdr:row>
          <xdr:rowOff>9525</xdr:rowOff>
        </xdr:from>
        <xdr:to>
          <xdr:col>5</xdr:col>
          <xdr:colOff>733425</xdr:colOff>
          <xdr:row>163</xdr:row>
          <xdr:rowOff>200025</xdr:rowOff>
        </xdr:to>
        <xdr:sp macro="" textlink="">
          <xdr:nvSpPr>
            <xdr:cNvPr id="2996289" name="Option Button 65" hidden="1">
              <a:extLst>
                <a:ext uri="{63B3BB69-23CF-44E3-9099-C40C66FF867C}">
                  <a14:compatExt spid="_x0000_s2996289"/>
                </a:ext>
                <a:ext uri="{FF2B5EF4-FFF2-40B4-BE49-F238E27FC236}">
                  <a16:creationId xmlns:a16="http://schemas.microsoft.com/office/drawing/2014/main" xmlns="" id="{00000000-0008-0000-0200-000041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163</xdr:row>
          <xdr:rowOff>9525</xdr:rowOff>
        </xdr:from>
        <xdr:to>
          <xdr:col>6</xdr:col>
          <xdr:colOff>714375</xdr:colOff>
          <xdr:row>164</xdr:row>
          <xdr:rowOff>0</xdr:rowOff>
        </xdr:to>
        <xdr:sp macro="" textlink="">
          <xdr:nvSpPr>
            <xdr:cNvPr id="2996290" name="Option Button 66" hidden="1">
              <a:extLst>
                <a:ext uri="{63B3BB69-23CF-44E3-9099-C40C66FF867C}">
                  <a14:compatExt spid="_x0000_s2996290"/>
                </a:ext>
                <a:ext uri="{FF2B5EF4-FFF2-40B4-BE49-F238E27FC236}">
                  <a16:creationId xmlns:a16="http://schemas.microsoft.com/office/drawing/2014/main" xmlns="" id="{00000000-0008-0000-0200-000042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164</xdr:row>
          <xdr:rowOff>0</xdr:rowOff>
        </xdr:from>
        <xdr:to>
          <xdr:col>7</xdr:col>
          <xdr:colOff>0</xdr:colOff>
          <xdr:row>165</xdr:row>
          <xdr:rowOff>9525</xdr:rowOff>
        </xdr:to>
        <xdr:sp macro="" textlink="">
          <xdr:nvSpPr>
            <xdr:cNvPr id="2996291" name="Group Box 67" hidden="1">
              <a:extLst>
                <a:ext uri="{63B3BB69-23CF-44E3-9099-C40C66FF867C}">
                  <a14:compatExt spid="_x0000_s2996291"/>
                </a:ext>
                <a:ext uri="{FF2B5EF4-FFF2-40B4-BE49-F238E27FC236}">
                  <a16:creationId xmlns:a16="http://schemas.microsoft.com/office/drawing/2014/main" xmlns="" id="{00000000-0008-0000-0200-000043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164</xdr:row>
          <xdr:rowOff>9525</xdr:rowOff>
        </xdr:from>
        <xdr:to>
          <xdr:col>5</xdr:col>
          <xdr:colOff>733425</xdr:colOff>
          <xdr:row>164</xdr:row>
          <xdr:rowOff>200025</xdr:rowOff>
        </xdr:to>
        <xdr:sp macro="" textlink="">
          <xdr:nvSpPr>
            <xdr:cNvPr id="2996292" name="Option Button 68" hidden="1">
              <a:extLst>
                <a:ext uri="{63B3BB69-23CF-44E3-9099-C40C66FF867C}">
                  <a14:compatExt spid="_x0000_s2996292"/>
                </a:ext>
                <a:ext uri="{FF2B5EF4-FFF2-40B4-BE49-F238E27FC236}">
                  <a16:creationId xmlns:a16="http://schemas.microsoft.com/office/drawing/2014/main" xmlns="" id="{00000000-0008-0000-0200-000044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164</xdr:row>
          <xdr:rowOff>9525</xdr:rowOff>
        </xdr:from>
        <xdr:to>
          <xdr:col>6</xdr:col>
          <xdr:colOff>714375</xdr:colOff>
          <xdr:row>165</xdr:row>
          <xdr:rowOff>0</xdr:rowOff>
        </xdr:to>
        <xdr:sp macro="" textlink="">
          <xdr:nvSpPr>
            <xdr:cNvPr id="2996293" name="Option Button 69" hidden="1">
              <a:extLst>
                <a:ext uri="{63B3BB69-23CF-44E3-9099-C40C66FF867C}">
                  <a14:compatExt spid="_x0000_s2996293"/>
                </a:ext>
                <a:ext uri="{FF2B5EF4-FFF2-40B4-BE49-F238E27FC236}">
                  <a16:creationId xmlns:a16="http://schemas.microsoft.com/office/drawing/2014/main" xmlns="" id="{00000000-0008-0000-0200-000045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165</xdr:row>
          <xdr:rowOff>0</xdr:rowOff>
        </xdr:from>
        <xdr:to>
          <xdr:col>7</xdr:col>
          <xdr:colOff>0</xdr:colOff>
          <xdr:row>166</xdr:row>
          <xdr:rowOff>0</xdr:rowOff>
        </xdr:to>
        <xdr:sp macro="" textlink="">
          <xdr:nvSpPr>
            <xdr:cNvPr id="2996294" name="Group Box 70" hidden="1">
              <a:extLst>
                <a:ext uri="{63B3BB69-23CF-44E3-9099-C40C66FF867C}">
                  <a14:compatExt spid="_x0000_s2996294"/>
                </a:ext>
                <a:ext uri="{FF2B5EF4-FFF2-40B4-BE49-F238E27FC236}">
                  <a16:creationId xmlns:a16="http://schemas.microsoft.com/office/drawing/2014/main" xmlns="" id="{00000000-0008-0000-0200-000046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165</xdr:row>
          <xdr:rowOff>9525</xdr:rowOff>
        </xdr:from>
        <xdr:to>
          <xdr:col>5</xdr:col>
          <xdr:colOff>733425</xdr:colOff>
          <xdr:row>165</xdr:row>
          <xdr:rowOff>200025</xdr:rowOff>
        </xdr:to>
        <xdr:sp macro="" textlink="">
          <xdr:nvSpPr>
            <xdr:cNvPr id="2996295" name="Option Button 71" hidden="1">
              <a:extLst>
                <a:ext uri="{63B3BB69-23CF-44E3-9099-C40C66FF867C}">
                  <a14:compatExt spid="_x0000_s2996295"/>
                </a:ext>
                <a:ext uri="{FF2B5EF4-FFF2-40B4-BE49-F238E27FC236}">
                  <a16:creationId xmlns:a16="http://schemas.microsoft.com/office/drawing/2014/main" xmlns="" id="{00000000-0008-0000-0200-000047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165</xdr:row>
          <xdr:rowOff>9525</xdr:rowOff>
        </xdr:from>
        <xdr:to>
          <xdr:col>6</xdr:col>
          <xdr:colOff>714375</xdr:colOff>
          <xdr:row>166</xdr:row>
          <xdr:rowOff>0</xdr:rowOff>
        </xdr:to>
        <xdr:sp macro="" textlink="">
          <xdr:nvSpPr>
            <xdr:cNvPr id="2996296" name="Option Button 72" hidden="1">
              <a:extLst>
                <a:ext uri="{63B3BB69-23CF-44E3-9099-C40C66FF867C}">
                  <a14:compatExt spid="_x0000_s2996296"/>
                </a:ext>
                <a:ext uri="{FF2B5EF4-FFF2-40B4-BE49-F238E27FC236}">
                  <a16:creationId xmlns:a16="http://schemas.microsoft.com/office/drawing/2014/main" xmlns="" id="{00000000-0008-0000-0200-000048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171</xdr:row>
          <xdr:rowOff>0</xdr:rowOff>
        </xdr:from>
        <xdr:to>
          <xdr:col>7</xdr:col>
          <xdr:colOff>0</xdr:colOff>
          <xdr:row>172</xdr:row>
          <xdr:rowOff>0</xdr:rowOff>
        </xdr:to>
        <xdr:sp macro="" textlink="">
          <xdr:nvSpPr>
            <xdr:cNvPr id="2996297" name="Group Box 73" hidden="1">
              <a:extLst>
                <a:ext uri="{63B3BB69-23CF-44E3-9099-C40C66FF867C}">
                  <a14:compatExt spid="_x0000_s2996297"/>
                </a:ext>
                <a:ext uri="{FF2B5EF4-FFF2-40B4-BE49-F238E27FC236}">
                  <a16:creationId xmlns:a16="http://schemas.microsoft.com/office/drawing/2014/main" xmlns="" id="{00000000-0008-0000-0200-000049B8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171</xdr:row>
          <xdr:rowOff>104775</xdr:rowOff>
        </xdr:from>
        <xdr:to>
          <xdr:col>5</xdr:col>
          <xdr:colOff>790575</xdr:colOff>
          <xdr:row>171</xdr:row>
          <xdr:rowOff>333375</xdr:rowOff>
        </xdr:to>
        <xdr:sp macro="" textlink="">
          <xdr:nvSpPr>
            <xdr:cNvPr id="2996298" name="Option Button 74" hidden="1">
              <a:extLst>
                <a:ext uri="{63B3BB69-23CF-44E3-9099-C40C66FF867C}">
                  <a14:compatExt spid="_x0000_s2996298"/>
                </a:ext>
                <a:ext uri="{FF2B5EF4-FFF2-40B4-BE49-F238E27FC236}">
                  <a16:creationId xmlns:a16="http://schemas.microsoft.com/office/drawing/2014/main" xmlns="" id="{00000000-0008-0000-0200-00004A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171</xdr:row>
          <xdr:rowOff>104775</xdr:rowOff>
        </xdr:from>
        <xdr:to>
          <xdr:col>6</xdr:col>
          <xdr:colOff>771525</xdr:colOff>
          <xdr:row>171</xdr:row>
          <xdr:rowOff>371475</xdr:rowOff>
        </xdr:to>
        <xdr:sp macro="" textlink="">
          <xdr:nvSpPr>
            <xdr:cNvPr id="2996299" name="Option Button 75" hidden="1">
              <a:extLst>
                <a:ext uri="{63B3BB69-23CF-44E3-9099-C40C66FF867C}">
                  <a14:compatExt spid="_x0000_s2996299"/>
                </a:ext>
                <a:ext uri="{FF2B5EF4-FFF2-40B4-BE49-F238E27FC236}">
                  <a16:creationId xmlns:a16="http://schemas.microsoft.com/office/drawing/2014/main" xmlns="" id="{00000000-0008-0000-0200-00004BB8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3174</xdr:colOff>
      <xdr:row>0</xdr:row>
      <xdr:rowOff>111760</xdr:rowOff>
    </xdr:from>
    <xdr:to>
      <xdr:col>6</xdr:col>
      <xdr:colOff>1028957</xdr:colOff>
      <xdr:row>0</xdr:row>
      <xdr:rowOff>649845</xdr:rowOff>
    </xdr:to>
    <xdr:sp macro="" textlink="">
      <xdr:nvSpPr>
        <xdr:cNvPr id="2" name="Testo 1">
          <a:extLst>
            <a:ext uri="{FF2B5EF4-FFF2-40B4-BE49-F238E27FC236}">
              <a16:creationId xmlns:a16="http://schemas.microsoft.com/office/drawing/2014/main" xmlns="" id="{00000000-0008-0000-0300-000002000000}"/>
            </a:ext>
          </a:extLst>
        </xdr:cNvPr>
        <xdr:cNvSpPr>
          <a:spLocks noChangeArrowheads="1"/>
        </xdr:cNvSpPr>
      </xdr:nvSpPr>
      <xdr:spPr bwMode="auto">
        <a:xfrm>
          <a:off x="361314" y="111760"/>
          <a:ext cx="8112383" cy="538085"/>
        </a:xfrm>
        <a:prstGeom prst="roundRect">
          <a:avLst>
            <a:gd name="adj" fmla="val 16667"/>
          </a:avLst>
        </a:prstGeom>
        <a:solidFill>
          <a:srgbClr val="C0C0C0"/>
        </a:solidFill>
        <a:ln w="9525">
          <a:solidFill>
            <a:srgbClr val="000000"/>
          </a:solidFill>
          <a:round/>
          <a:headEnd/>
          <a:tailEnd/>
        </a:ln>
        <a:effectLst>
          <a:outerShdw dist="35921" dir="2700000" algn="ctr" rotWithShape="0">
            <a:srgbClr val="000000"/>
          </a:outerShdw>
        </a:effectLst>
      </xdr:spPr>
      <xdr:txBody>
        <a:bodyPr vertOverflow="clip" wrap="square" lIns="45720" tIns="36576" rIns="45720" bIns="36576" anchor="ctr" upright="1"/>
        <a:lstStyle/>
        <a:p>
          <a:pPr algn="ctr" rtl="0">
            <a:defRPr sz="1000"/>
          </a:pPr>
          <a:r>
            <a:rPr lang="it-IT" sz="1800" b="1" i="0" strike="noStrike">
              <a:solidFill>
                <a:srgbClr val="000000"/>
              </a:solidFill>
              <a:latin typeface="Arial"/>
              <a:cs typeface="Arial"/>
            </a:rPr>
            <a:t>SCHEDA INFORMATIVA 1A</a:t>
          </a:r>
        </a:p>
      </xdr:txBody>
    </xdr:sp>
    <xdr:clientData/>
  </xdr:twoCellAnchor>
  <xdr:twoCellAnchor>
    <xdr:from>
      <xdr:col>6</xdr:col>
      <xdr:colOff>0</xdr:colOff>
      <xdr:row>2</xdr:row>
      <xdr:rowOff>0</xdr:rowOff>
    </xdr:from>
    <xdr:to>
      <xdr:col>6</xdr:col>
      <xdr:colOff>0</xdr:colOff>
      <xdr:row>2</xdr:row>
      <xdr:rowOff>0</xdr:rowOff>
    </xdr:to>
    <xdr:sp macro="" textlink="" fLocksText="0">
      <xdr:nvSpPr>
        <xdr:cNvPr id="3" name="Text Box 2">
          <a:extLst>
            <a:ext uri="{FF2B5EF4-FFF2-40B4-BE49-F238E27FC236}">
              <a16:creationId xmlns:a16="http://schemas.microsoft.com/office/drawing/2014/main" xmlns="" id="{00000000-0008-0000-0300-000003000000}"/>
            </a:ext>
          </a:extLst>
        </xdr:cNvPr>
        <xdr:cNvSpPr txBox="1">
          <a:spLocks noChangeArrowheads="1"/>
        </xdr:cNvSpPr>
      </xdr:nvSpPr>
      <xdr:spPr bwMode="auto">
        <a:xfrm>
          <a:off x="7444740" y="1112520"/>
          <a:ext cx="0" cy="0"/>
        </a:xfrm>
        <a:prstGeom prst="rect">
          <a:avLst/>
        </a:prstGeom>
        <a:solidFill>
          <a:srgbClr val="FFFFCC"/>
        </a:solidFill>
        <a:ln w="9525">
          <a:solidFill>
            <a:srgbClr val="000000"/>
          </a:solidFill>
          <a:miter lim="800000"/>
          <a:headEnd/>
          <a:tailEnd/>
        </a:ln>
      </xdr:spPr>
    </xdr:sp>
    <xdr:clientData fLocksWithSheet="0"/>
  </xdr:twoCellAnchor>
  <xdr:twoCellAnchor>
    <xdr:from>
      <xdr:col>6</xdr:col>
      <xdr:colOff>0</xdr:colOff>
      <xdr:row>2</xdr:row>
      <xdr:rowOff>0</xdr:rowOff>
    </xdr:from>
    <xdr:to>
      <xdr:col>6</xdr:col>
      <xdr:colOff>0</xdr:colOff>
      <xdr:row>2</xdr:row>
      <xdr:rowOff>0</xdr:rowOff>
    </xdr:to>
    <xdr:sp macro="" textlink="" fLocksText="0">
      <xdr:nvSpPr>
        <xdr:cNvPr id="4" name="Text Box 3">
          <a:extLst>
            <a:ext uri="{FF2B5EF4-FFF2-40B4-BE49-F238E27FC236}">
              <a16:creationId xmlns:a16="http://schemas.microsoft.com/office/drawing/2014/main" xmlns="" id="{00000000-0008-0000-0300-000004000000}"/>
            </a:ext>
          </a:extLst>
        </xdr:cNvPr>
        <xdr:cNvSpPr txBox="1">
          <a:spLocks noChangeArrowheads="1"/>
        </xdr:cNvSpPr>
      </xdr:nvSpPr>
      <xdr:spPr bwMode="auto">
        <a:xfrm>
          <a:off x="7444740" y="1112520"/>
          <a:ext cx="0" cy="0"/>
        </a:xfrm>
        <a:prstGeom prst="rect">
          <a:avLst/>
        </a:prstGeom>
        <a:solidFill>
          <a:srgbClr val="FFFFCC"/>
        </a:solidFill>
        <a:ln w="9525">
          <a:solidFill>
            <a:srgbClr val="000000"/>
          </a:solidFill>
          <a:miter lim="800000"/>
          <a:headEnd/>
          <a:tailEnd/>
        </a:ln>
      </xdr:spPr>
    </xdr:sp>
    <xdr:clientData fLocksWithSheet="0"/>
  </xdr:twoCellAnchor>
  <mc:AlternateContent xmlns:mc="http://schemas.openxmlformats.org/markup-compatibility/2006">
    <mc:Choice xmlns:a14="http://schemas.microsoft.com/office/drawing/2010/main" Requires="a14">
      <xdr:twoCellAnchor editAs="oneCell">
        <xdr:from>
          <xdr:col>5</xdr:col>
          <xdr:colOff>0</xdr:colOff>
          <xdr:row>10</xdr:row>
          <xdr:rowOff>0</xdr:rowOff>
        </xdr:from>
        <xdr:to>
          <xdr:col>7</xdr:col>
          <xdr:colOff>0</xdr:colOff>
          <xdr:row>11</xdr:row>
          <xdr:rowOff>0</xdr:rowOff>
        </xdr:to>
        <xdr:sp macro="" textlink="">
          <xdr:nvSpPr>
            <xdr:cNvPr id="2997249" name="Group Box 1" hidden="1">
              <a:extLst>
                <a:ext uri="{63B3BB69-23CF-44E3-9099-C40C66FF867C}">
                  <a14:compatExt spid="_x0000_s2997249"/>
                </a:ext>
                <a:ext uri="{FF2B5EF4-FFF2-40B4-BE49-F238E27FC236}">
                  <a16:creationId xmlns:a16="http://schemas.microsoft.com/office/drawing/2014/main" xmlns="" id="{00000000-0008-0000-0300-000001BC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10</xdr:row>
          <xdr:rowOff>9525</xdr:rowOff>
        </xdr:from>
        <xdr:to>
          <xdr:col>5</xdr:col>
          <xdr:colOff>790575</xdr:colOff>
          <xdr:row>10</xdr:row>
          <xdr:rowOff>238125</xdr:rowOff>
        </xdr:to>
        <xdr:sp macro="" textlink="">
          <xdr:nvSpPr>
            <xdr:cNvPr id="2997250" name="Option Button 2" hidden="1">
              <a:extLst>
                <a:ext uri="{63B3BB69-23CF-44E3-9099-C40C66FF867C}">
                  <a14:compatExt spid="_x0000_s2997250"/>
                </a:ext>
                <a:ext uri="{FF2B5EF4-FFF2-40B4-BE49-F238E27FC236}">
                  <a16:creationId xmlns:a16="http://schemas.microsoft.com/office/drawing/2014/main" xmlns="" id="{00000000-0008-0000-0300-000002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10</xdr:row>
          <xdr:rowOff>0</xdr:rowOff>
        </xdr:from>
        <xdr:to>
          <xdr:col>6</xdr:col>
          <xdr:colOff>733425</xdr:colOff>
          <xdr:row>10</xdr:row>
          <xdr:rowOff>219075</xdr:rowOff>
        </xdr:to>
        <xdr:sp macro="" textlink="">
          <xdr:nvSpPr>
            <xdr:cNvPr id="2997251" name="Option Button 3" hidden="1">
              <a:extLst>
                <a:ext uri="{63B3BB69-23CF-44E3-9099-C40C66FF867C}">
                  <a14:compatExt spid="_x0000_s2997251"/>
                </a:ext>
                <a:ext uri="{FF2B5EF4-FFF2-40B4-BE49-F238E27FC236}">
                  <a16:creationId xmlns:a16="http://schemas.microsoft.com/office/drawing/2014/main" xmlns="" id="{00000000-0008-0000-0300-000003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xdr:row>
          <xdr:rowOff>0</xdr:rowOff>
        </xdr:from>
        <xdr:to>
          <xdr:col>7</xdr:col>
          <xdr:colOff>0</xdr:colOff>
          <xdr:row>20</xdr:row>
          <xdr:rowOff>0</xdr:rowOff>
        </xdr:to>
        <xdr:sp macro="" textlink="">
          <xdr:nvSpPr>
            <xdr:cNvPr id="2997252" name="Group Box 4" hidden="1">
              <a:extLst>
                <a:ext uri="{63B3BB69-23CF-44E3-9099-C40C66FF867C}">
                  <a14:compatExt spid="_x0000_s2997252"/>
                </a:ext>
                <a:ext uri="{FF2B5EF4-FFF2-40B4-BE49-F238E27FC236}">
                  <a16:creationId xmlns:a16="http://schemas.microsoft.com/office/drawing/2014/main" xmlns="" id="{00000000-0008-0000-0300-000004BC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xdr:row>
          <xdr:rowOff>0</xdr:rowOff>
        </xdr:from>
        <xdr:to>
          <xdr:col>7</xdr:col>
          <xdr:colOff>0</xdr:colOff>
          <xdr:row>22</xdr:row>
          <xdr:rowOff>0</xdr:rowOff>
        </xdr:to>
        <xdr:sp macro="" textlink="">
          <xdr:nvSpPr>
            <xdr:cNvPr id="2997253" name="Group Box 5" hidden="1">
              <a:extLst>
                <a:ext uri="{63B3BB69-23CF-44E3-9099-C40C66FF867C}">
                  <a14:compatExt spid="_x0000_s2997253"/>
                </a:ext>
                <a:ext uri="{FF2B5EF4-FFF2-40B4-BE49-F238E27FC236}">
                  <a16:creationId xmlns:a16="http://schemas.microsoft.com/office/drawing/2014/main" xmlns="" id="{00000000-0008-0000-0300-000005BC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19</xdr:row>
          <xdr:rowOff>180975</xdr:rowOff>
        </xdr:from>
        <xdr:to>
          <xdr:col>5</xdr:col>
          <xdr:colOff>790575</xdr:colOff>
          <xdr:row>19</xdr:row>
          <xdr:rowOff>409575</xdr:rowOff>
        </xdr:to>
        <xdr:sp macro="" textlink="">
          <xdr:nvSpPr>
            <xdr:cNvPr id="2997254" name="Option Button 6" hidden="1">
              <a:extLst>
                <a:ext uri="{63B3BB69-23CF-44E3-9099-C40C66FF867C}">
                  <a14:compatExt spid="_x0000_s2997254"/>
                </a:ext>
                <a:ext uri="{FF2B5EF4-FFF2-40B4-BE49-F238E27FC236}">
                  <a16:creationId xmlns:a16="http://schemas.microsoft.com/office/drawing/2014/main" xmlns="" id="{00000000-0008-0000-0300-000006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19</xdr:row>
          <xdr:rowOff>180975</xdr:rowOff>
        </xdr:from>
        <xdr:to>
          <xdr:col>6</xdr:col>
          <xdr:colOff>790575</xdr:colOff>
          <xdr:row>19</xdr:row>
          <xdr:rowOff>409575</xdr:rowOff>
        </xdr:to>
        <xdr:sp macro="" textlink="">
          <xdr:nvSpPr>
            <xdr:cNvPr id="2997255" name="Option Button 7" hidden="1">
              <a:extLst>
                <a:ext uri="{63B3BB69-23CF-44E3-9099-C40C66FF867C}">
                  <a14:compatExt spid="_x0000_s2997255"/>
                </a:ext>
                <a:ext uri="{FF2B5EF4-FFF2-40B4-BE49-F238E27FC236}">
                  <a16:creationId xmlns:a16="http://schemas.microsoft.com/office/drawing/2014/main" xmlns="" id="{00000000-0008-0000-0300-000007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21</xdr:row>
          <xdr:rowOff>85725</xdr:rowOff>
        </xdr:from>
        <xdr:to>
          <xdr:col>5</xdr:col>
          <xdr:colOff>790575</xdr:colOff>
          <xdr:row>21</xdr:row>
          <xdr:rowOff>304800</xdr:rowOff>
        </xdr:to>
        <xdr:sp macro="" textlink="">
          <xdr:nvSpPr>
            <xdr:cNvPr id="2997256" name="Option Button 8" hidden="1">
              <a:extLst>
                <a:ext uri="{63B3BB69-23CF-44E3-9099-C40C66FF867C}">
                  <a14:compatExt spid="_x0000_s2997256"/>
                </a:ext>
                <a:ext uri="{FF2B5EF4-FFF2-40B4-BE49-F238E27FC236}">
                  <a16:creationId xmlns:a16="http://schemas.microsoft.com/office/drawing/2014/main" xmlns="" id="{00000000-0008-0000-0300-000008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21</xdr:row>
          <xdr:rowOff>76200</xdr:rowOff>
        </xdr:from>
        <xdr:to>
          <xdr:col>6</xdr:col>
          <xdr:colOff>771525</xdr:colOff>
          <xdr:row>21</xdr:row>
          <xdr:rowOff>295275</xdr:rowOff>
        </xdr:to>
        <xdr:sp macro="" textlink="">
          <xdr:nvSpPr>
            <xdr:cNvPr id="2997257" name="Option Button 9" hidden="1">
              <a:extLst>
                <a:ext uri="{63B3BB69-23CF-44E3-9099-C40C66FF867C}">
                  <a14:compatExt spid="_x0000_s2997257"/>
                </a:ext>
                <a:ext uri="{FF2B5EF4-FFF2-40B4-BE49-F238E27FC236}">
                  <a16:creationId xmlns:a16="http://schemas.microsoft.com/office/drawing/2014/main" xmlns="" id="{00000000-0008-0000-0300-000009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33</xdr:row>
          <xdr:rowOff>0</xdr:rowOff>
        </xdr:from>
        <xdr:to>
          <xdr:col>7</xdr:col>
          <xdr:colOff>0</xdr:colOff>
          <xdr:row>34</xdr:row>
          <xdr:rowOff>0</xdr:rowOff>
        </xdr:to>
        <xdr:sp macro="" textlink="">
          <xdr:nvSpPr>
            <xdr:cNvPr id="2997258" name="Group Box 10" hidden="1">
              <a:extLst>
                <a:ext uri="{63B3BB69-23CF-44E3-9099-C40C66FF867C}">
                  <a14:compatExt spid="_x0000_s2997258"/>
                </a:ext>
                <a:ext uri="{FF2B5EF4-FFF2-40B4-BE49-F238E27FC236}">
                  <a16:creationId xmlns:a16="http://schemas.microsoft.com/office/drawing/2014/main" xmlns="" id="{00000000-0008-0000-0300-00000ABC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31</xdr:row>
          <xdr:rowOff>66675</xdr:rowOff>
        </xdr:from>
        <xdr:to>
          <xdr:col>5</xdr:col>
          <xdr:colOff>809625</xdr:colOff>
          <xdr:row>31</xdr:row>
          <xdr:rowOff>295275</xdr:rowOff>
        </xdr:to>
        <xdr:sp macro="" textlink="">
          <xdr:nvSpPr>
            <xdr:cNvPr id="2997259" name="Option Button 11" hidden="1">
              <a:extLst>
                <a:ext uri="{63B3BB69-23CF-44E3-9099-C40C66FF867C}">
                  <a14:compatExt spid="_x0000_s2997259"/>
                </a:ext>
                <a:ext uri="{FF2B5EF4-FFF2-40B4-BE49-F238E27FC236}">
                  <a16:creationId xmlns:a16="http://schemas.microsoft.com/office/drawing/2014/main" xmlns="" id="{00000000-0008-0000-0300-00000B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31</xdr:row>
          <xdr:rowOff>76200</xdr:rowOff>
        </xdr:from>
        <xdr:to>
          <xdr:col>6</xdr:col>
          <xdr:colOff>790575</xdr:colOff>
          <xdr:row>31</xdr:row>
          <xdr:rowOff>295275</xdr:rowOff>
        </xdr:to>
        <xdr:sp macro="" textlink="">
          <xdr:nvSpPr>
            <xdr:cNvPr id="2997260" name="Option Button 12" hidden="1">
              <a:extLst>
                <a:ext uri="{63B3BB69-23CF-44E3-9099-C40C66FF867C}">
                  <a14:compatExt spid="_x0000_s2997260"/>
                </a:ext>
                <a:ext uri="{FF2B5EF4-FFF2-40B4-BE49-F238E27FC236}">
                  <a16:creationId xmlns:a16="http://schemas.microsoft.com/office/drawing/2014/main" xmlns="" id="{00000000-0008-0000-0300-00000C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33</xdr:row>
          <xdr:rowOff>9525</xdr:rowOff>
        </xdr:from>
        <xdr:to>
          <xdr:col>5</xdr:col>
          <xdr:colOff>809625</xdr:colOff>
          <xdr:row>33</xdr:row>
          <xdr:rowOff>238125</xdr:rowOff>
        </xdr:to>
        <xdr:sp macro="" textlink="">
          <xdr:nvSpPr>
            <xdr:cNvPr id="2997261" name="Option Button 13" hidden="1">
              <a:extLst>
                <a:ext uri="{63B3BB69-23CF-44E3-9099-C40C66FF867C}">
                  <a14:compatExt spid="_x0000_s2997261"/>
                </a:ext>
                <a:ext uri="{FF2B5EF4-FFF2-40B4-BE49-F238E27FC236}">
                  <a16:creationId xmlns:a16="http://schemas.microsoft.com/office/drawing/2014/main" xmlns="" id="{00000000-0008-0000-0300-00000D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33</xdr:row>
          <xdr:rowOff>9525</xdr:rowOff>
        </xdr:from>
        <xdr:to>
          <xdr:col>6</xdr:col>
          <xdr:colOff>790575</xdr:colOff>
          <xdr:row>33</xdr:row>
          <xdr:rowOff>238125</xdr:rowOff>
        </xdr:to>
        <xdr:sp macro="" textlink="">
          <xdr:nvSpPr>
            <xdr:cNvPr id="2997262" name="Option Button 14" hidden="1">
              <a:extLst>
                <a:ext uri="{63B3BB69-23CF-44E3-9099-C40C66FF867C}">
                  <a14:compatExt spid="_x0000_s2997262"/>
                </a:ext>
                <a:ext uri="{FF2B5EF4-FFF2-40B4-BE49-F238E27FC236}">
                  <a16:creationId xmlns:a16="http://schemas.microsoft.com/office/drawing/2014/main" xmlns="" id="{00000000-0008-0000-0300-00000E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46</xdr:row>
          <xdr:rowOff>0</xdr:rowOff>
        </xdr:from>
        <xdr:to>
          <xdr:col>7</xdr:col>
          <xdr:colOff>0</xdr:colOff>
          <xdr:row>47</xdr:row>
          <xdr:rowOff>0</xdr:rowOff>
        </xdr:to>
        <xdr:sp macro="" textlink="">
          <xdr:nvSpPr>
            <xdr:cNvPr id="2997263" name="Group Box 15" hidden="1">
              <a:extLst>
                <a:ext uri="{63B3BB69-23CF-44E3-9099-C40C66FF867C}">
                  <a14:compatExt spid="_x0000_s2997263"/>
                </a:ext>
                <a:ext uri="{FF2B5EF4-FFF2-40B4-BE49-F238E27FC236}">
                  <a16:creationId xmlns:a16="http://schemas.microsoft.com/office/drawing/2014/main" xmlns="" id="{00000000-0008-0000-0300-00000FBC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46</xdr:row>
          <xdr:rowOff>9525</xdr:rowOff>
        </xdr:from>
        <xdr:to>
          <xdr:col>5</xdr:col>
          <xdr:colOff>809625</xdr:colOff>
          <xdr:row>46</xdr:row>
          <xdr:rowOff>238125</xdr:rowOff>
        </xdr:to>
        <xdr:sp macro="" textlink="">
          <xdr:nvSpPr>
            <xdr:cNvPr id="2997264" name="Option Button 16" hidden="1">
              <a:extLst>
                <a:ext uri="{63B3BB69-23CF-44E3-9099-C40C66FF867C}">
                  <a14:compatExt spid="_x0000_s2997264"/>
                </a:ext>
                <a:ext uri="{FF2B5EF4-FFF2-40B4-BE49-F238E27FC236}">
                  <a16:creationId xmlns:a16="http://schemas.microsoft.com/office/drawing/2014/main" xmlns="" id="{00000000-0008-0000-0300-000010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46</xdr:row>
          <xdr:rowOff>9525</xdr:rowOff>
        </xdr:from>
        <xdr:to>
          <xdr:col>6</xdr:col>
          <xdr:colOff>733425</xdr:colOff>
          <xdr:row>46</xdr:row>
          <xdr:rowOff>238125</xdr:rowOff>
        </xdr:to>
        <xdr:sp macro="" textlink="">
          <xdr:nvSpPr>
            <xdr:cNvPr id="2997265" name="Option Button 17" hidden="1">
              <a:extLst>
                <a:ext uri="{63B3BB69-23CF-44E3-9099-C40C66FF867C}">
                  <a14:compatExt spid="_x0000_s2997265"/>
                </a:ext>
                <a:ext uri="{FF2B5EF4-FFF2-40B4-BE49-F238E27FC236}">
                  <a16:creationId xmlns:a16="http://schemas.microsoft.com/office/drawing/2014/main" xmlns="" id="{00000000-0008-0000-0300-000011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48</xdr:row>
          <xdr:rowOff>0</xdr:rowOff>
        </xdr:from>
        <xdr:to>
          <xdr:col>6</xdr:col>
          <xdr:colOff>1133475</xdr:colOff>
          <xdr:row>49</xdr:row>
          <xdr:rowOff>0</xdr:rowOff>
        </xdr:to>
        <xdr:sp macro="" textlink="">
          <xdr:nvSpPr>
            <xdr:cNvPr id="2997266" name="Group Box 18" hidden="1">
              <a:extLst>
                <a:ext uri="{63B3BB69-23CF-44E3-9099-C40C66FF867C}">
                  <a14:compatExt spid="_x0000_s2997266"/>
                </a:ext>
                <a:ext uri="{FF2B5EF4-FFF2-40B4-BE49-F238E27FC236}">
                  <a16:creationId xmlns:a16="http://schemas.microsoft.com/office/drawing/2014/main" xmlns="" id="{00000000-0008-0000-0300-000012BC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48</xdr:row>
          <xdr:rowOff>142875</xdr:rowOff>
        </xdr:from>
        <xdr:to>
          <xdr:col>5</xdr:col>
          <xdr:colOff>828675</xdr:colOff>
          <xdr:row>48</xdr:row>
          <xdr:rowOff>371475</xdr:rowOff>
        </xdr:to>
        <xdr:sp macro="" textlink="">
          <xdr:nvSpPr>
            <xdr:cNvPr id="2997267" name="Option Button 19" hidden="1">
              <a:extLst>
                <a:ext uri="{63B3BB69-23CF-44E3-9099-C40C66FF867C}">
                  <a14:compatExt spid="_x0000_s2997267"/>
                </a:ext>
                <a:ext uri="{FF2B5EF4-FFF2-40B4-BE49-F238E27FC236}">
                  <a16:creationId xmlns:a16="http://schemas.microsoft.com/office/drawing/2014/main" xmlns="" id="{00000000-0008-0000-0300-000013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48</xdr:row>
          <xdr:rowOff>142875</xdr:rowOff>
        </xdr:from>
        <xdr:to>
          <xdr:col>6</xdr:col>
          <xdr:colOff>733425</xdr:colOff>
          <xdr:row>48</xdr:row>
          <xdr:rowOff>409575</xdr:rowOff>
        </xdr:to>
        <xdr:sp macro="" textlink="">
          <xdr:nvSpPr>
            <xdr:cNvPr id="2997268" name="Option Button 20" hidden="1">
              <a:extLst>
                <a:ext uri="{63B3BB69-23CF-44E3-9099-C40C66FF867C}">
                  <a14:compatExt spid="_x0000_s2997268"/>
                </a:ext>
                <a:ext uri="{FF2B5EF4-FFF2-40B4-BE49-F238E27FC236}">
                  <a16:creationId xmlns:a16="http://schemas.microsoft.com/office/drawing/2014/main" xmlns="" id="{00000000-0008-0000-0300-000014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51</xdr:row>
          <xdr:rowOff>0</xdr:rowOff>
        </xdr:from>
        <xdr:to>
          <xdr:col>7</xdr:col>
          <xdr:colOff>9525</xdr:colOff>
          <xdr:row>61</xdr:row>
          <xdr:rowOff>0</xdr:rowOff>
        </xdr:to>
        <xdr:sp macro="" textlink="">
          <xdr:nvSpPr>
            <xdr:cNvPr id="2997269" name="Group Box 21" hidden="1">
              <a:extLst>
                <a:ext uri="{63B3BB69-23CF-44E3-9099-C40C66FF867C}">
                  <a14:compatExt spid="_x0000_s2997269"/>
                </a:ext>
                <a:ext uri="{FF2B5EF4-FFF2-40B4-BE49-F238E27FC236}">
                  <a16:creationId xmlns:a16="http://schemas.microsoft.com/office/drawing/2014/main" xmlns="" id="{00000000-0008-0000-0300-000015BC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51</xdr:row>
          <xdr:rowOff>28575</xdr:rowOff>
        </xdr:from>
        <xdr:to>
          <xdr:col>5</xdr:col>
          <xdr:colOff>809625</xdr:colOff>
          <xdr:row>51</xdr:row>
          <xdr:rowOff>257175</xdr:rowOff>
        </xdr:to>
        <xdr:sp macro="" textlink="">
          <xdr:nvSpPr>
            <xdr:cNvPr id="2997270" name="Option Button 22" hidden="1">
              <a:extLst>
                <a:ext uri="{63B3BB69-23CF-44E3-9099-C40C66FF867C}">
                  <a14:compatExt spid="_x0000_s2997270"/>
                </a:ext>
                <a:ext uri="{FF2B5EF4-FFF2-40B4-BE49-F238E27FC236}">
                  <a16:creationId xmlns:a16="http://schemas.microsoft.com/office/drawing/2014/main" xmlns="" id="{00000000-0008-0000-0300-000016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51</xdr:row>
          <xdr:rowOff>28575</xdr:rowOff>
        </xdr:from>
        <xdr:to>
          <xdr:col>6</xdr:col>
          <xdr:colOff>733425</xdr:colOff>
          <xdr:row>51</xdr:row>
          <xdr:rowOff>295275</xdr:rowOff>
        </xdr:to>
        <xdr:sp macro="" textlink="">
          <xdr:nvSpPr>
            <xdr:cNvPr id="2997271" name="Option Button 23" hidden="1">
              <a:extLst>
                <a:ext uri="{63B3BB69-23CF-44E3-9099-C40C66FF867C}">
                  <a14:compatExt spid="_x0000_s2997271"/>
                </a:ext>
                <a:ext uri="{FF2B5EF4-FFF2-40B4-BE49-F238E27FC236}">
                  <a16:creationId xmlns:a16="http://schemas.microsoft.com/office/drawing/2014/main" xmlns="" id="{00000000-0008-0000-0300-000017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161</xdr:row>
          <xdr:rowOff>9525</xdr:rowOff>
        </xdr:from>
        <xdr:to>
          <xdr:col>7</xdr:col>
          <xdr:colOff>0</xdr:colOff>
          <xdr:row>162</xdr:row>
          <xdr:rowOff>9525</xdr:rowOff>
        </xdr:to>
        <xdr:sp macro="" textlink="">
          <xdr:nvSpPr>
            <xdr:cNvPr id="2997272" name="Group Box 24" hidden="1">
              <a:extLst>
                <a:ext uri="{63B3BB69-23CF-44E3-9099-C40C66FF867C}">
                  <a14:compatExt spid="_x0000_s2997272"/>
                </a:ext>
                <a:ext uri="{FF2B5EF4-FFF2-40B4-BE49-F238E27FC236}">
                  <a16:creationId xmlns:a16="http://schemas.microsoft.com/office/drawing/2014/main" xmlns="" id="{00000000-0008-0000-0300-000018BC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161</xdr:row>
          <xdr:rowOff>9525</xdr:rowOff>
        </xdr:from>
        <xdr:to>
          <xdr:col>5</xdr:col>
          <xdr:colOff>733425</xdr:colOff>
          <xdr:row>161</xdr:row>
          <xdr:rowOff>200025</xdr:rowOff>
        </xdr:to>
        <xdr:sp macro="" textlink="">
          <xdr:nvSpPr>
            <xdr:cNvPr id="2997273" name="Option Button 25" hidden="1">
              <a:extLst>
                <a:ext uri="{63B3BB69-23CF-44E3-9099-C40C66FF867C}">
                  <a14:compatExt spid="_x0000_s2997273"/>
                </a:ext>
                <a:ext uri="{FF2B5EF4-FFF2-40B4-BE49-F238E27FC236}">
                  <a16:creationId xmlns:a16="http://schemas.microsoft.com/office/drawing/2014/main" xmlns="" id="{00000000-0008-0000-0300-000019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161</xdr:row>
          <xdr:rowOff>9525</xdr:rowOff>
        </xdr:from>
        <xdr:to>
          <xdr:col>6</xdr:col>
          <xdr:colOff>714375</xdr:colOff>
          <xdr:row>162</xdr:row>
          <xdr:rowOff>0</xdr:rowOff>
        </xdr:to>
        <xdr:sp macro="" textlink="">
          <xdr:nvSpPr>
            <xdr:cNvPr id="2997274" name="Option Button 26" hidden="1">
              <a:extLst>
                <a:ext uri="{63B3BB69-23CF-44E3-9099-C40C66FF867C}">
                  <a14:compatExt spid="_x0000_s2997274"/>
                </a:ext>
                <a:ext uri="{FF2B5EF4-FFF2-40B4-BE49-F238E27FC236}">
                  <a16:creationId xmlns:a16="http://schemas.microsoft.com/office/drawing/2014/main" xmlns="" id="{00000000-0008-0000-0300-00001A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162</xdr:row>
          <xdr:rowOff>0</xdr:rowOff>
        </xdr:from>
        <xdr:to>
          <xdr:col>7</xdr:col>
          <xdr:colOff>0</xdr:colOff>
          <xdr:row>163</xdr:row>
          <xdr:rowOff>9525</xdr:rowOff>
        </xdr:to>
        <xdr:sp macro="" textlink="">
          <xdr:nvSpPr>
            <xdr:cNvPr id="2997275" name="Group Box 27" hidden="1">
              <a:extLst>
                <a:ext uri="{63B3BB69-23CF-44E3-9099-C40C66FF867C}">
                  <a14:compatExt spid="_x0000_s2997275"/>
                </a:ext>
                <a:ext uri="{FF2B5EF4-FFF2-40B4-BE49-F238E27FC236}">
                  <a16:creationId xmlns:a16="http://schemas.microsoft.com/office/drawing/2014/main" xmlns="" id="{00000000-0008-0000-0300-00001BBC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162</xdr:row>
          <xdr:rowOff>9525</xdr:rowOff>
        </xdr:from>
        <xdr:to>
          <xdr:col>5</xdr:col>
          <xdr:colOff>733425</xdr:colOff>
          <xdr:row>162</xdr:row>
          <xdr:rowOff>200025</xdr:rowOff>
        </xdr:to>
        <xdr:sp macro="" textlink="">
          <xdr:nvSpPr>
            <xdr:cNvPr id="2997276" name="Option Button 28" hidden="1">
              <a:extLst>
                <a:ext uri="{63B3BB69-23CF-44E3-9099-C40C66FF867C}">
                  <a14:compatExt spid="_x0000_s2997276"/>
                </a:ext>
                <a:ext uri="{FF2B5EF4-FFF2-40B4-BE49-F238E27FC236}">
                  <a16:creationId xmlns:a16="http://schemas.microsoft.com/office/drawing/2014/main" xmlns="" id="{00000000-0008-0000-0300-00001C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162</xdr:row>
          <xdr:rowOff>9525</xdr:rowOff>
        </xdr:from>
        <xdr:to>
          <xdr:col>6</xdr:col>
          <xdr:colOff>714375</xdr:colOff>
          <xdr:row>163</xdr:row>
          <xdr:rowOff>0</xdr:rowOff>
        </xdr:to>
        <xdr:sp macro="" textlink="">
          <xdr:nvSpPr>
            <xdr:cNvPr id="2997277" name="Option Button 29" hidden="1">
              <a:extLst>
                <a:ext uri="{63B3BB69-23CF-44E3-9099-C40C66FF867C}">
                  <a14:compatExt spid="_x0000_s2997277"/>
                </a:ext>
                <a:ext uri="{FF2B5EF4-FFF2-40B4-BE49-F238E27FC236}">
                  <a16:creationId xmlns:a16="http://schemas.microsoft.com/office/drawing/2014/main" xmlns="" id="{00000000-0008-0000-0300-00001D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163</xdr:row>
          <xdr:rowOff>0</xdr:rowOff>
        </xdr:from>
        <xdr:to>
          <xdr:col>7</xdr:col>
          <xdr:colOff>0</xdr:colOff>
          <xdr:row>164</xdr:row>
          <xdr:rowOff>9525</xdr:rowOff>
        </xdr:to>
        <xdr:sp macro="" textlink="">
          <xdr:nvSpPr>
            <xdr:cNvPr id="2997278" name="Group Box 30" hidden="1">
              <a:extLst>
                <a:ext uri="{63B3BB69-23CF-44E3-9099-C40C66FF867C}">
                  <a14:compatExt spid="_x0000_s2997278"/>
                </a:ext>
                <a:ext uri="{FF2B5EF4-FFF2-40B4-BE49-F238E27FC236}">
                  <a16:creationId xmlns:a16="http://schemas.microsoft.com/office/drawing/2014/main" xmlns="" id="{00000000-0008-0000-0300-00001EBC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163</xdr:row>
          <xdr:rowOff>9525</xdr:rowOff>
        </xdr:from>
        <xdr:to>
          <xdr:col>5</xdr:col>
          <xdr:colOff>733425</xdr:colOff>
          <xdr:row>163</xdr:row>
          <xdr:rowOff>200025</xdr:rowOff>
        </xdr:to>
        <xdr:sp macro="" textlink="">
          <xdr:nvSpPr>
            <xdr:cNvPr id="2997279" name="Option Button 31" hidden="1">
              <a:extLst>
                <a:ext uri="{63B3BB69-23CF-44E3-9099-C40C66FF867C}">
                  <a14:compatExt spid="_x0000_s2997279"/>
                </a:ext>
                <a:ext uri="{FF2B5EF4-FFF2-40B4-BE49-F238E27FC236}">
                  <a16:creationId xmlns:a16="http://schemas.microsoft.com/office/drawing/2014/main" xmlns="" id="{00000000-0008-0000-0300-00001F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163</xdr:row>
          <xdr:rowOff>9525</xdr:rowOff>
        </xdr:from>
        <xdr:to>
          <xdr:col>6</xdr:col>
          <xdr:colOff>714375</xdr:colOff>
          <xdr:row>164</xdr:row>
          <xdr:rowOff>0</xdr:rowOff>
        </xdr:to>
        <xdr:sp macro="" textlink="">
          <xdr:nvSpPr>
            <xdr:cNvPr id="2997280" name="Option Button 32" hidden="1">
              <a:extLst>
                <a:ext uri="{63B3BB69-23CF-44E3-9099-C40C66FF867C}">
                  <a14:compatExt spid="_x0000_s2997280"/>
                </a:ext>
                <a:ext uri="{FF2B5EF4-FFF2-40B4-BE49-F238E27FC236}">
                  <a16:creationId xmlns:a16="http://schemas.microsoft.com/office/drawing/2014/main" xmlns="" id="{00000000-0008-0000-0300-000020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164</xdr:row>
          <xdr:rowOff>0</xdr:rowOff>
        </xdr:from>
        <xdr:to>
          <xdr:col>7</xdr:col>
          <xdr:colOff>0</xdr:colOff>
          <xdr:row>165</xdr:row>
          <xdr:rowOff>9525</xdr:rowOff>
        </xdr:to>
        <xdr:sp macro="" textlink="">
          <xdr:nvSpPr>
            <xdr:cNvPr id="2997281" name="Group Box 33" hidden="1">
              <a:extLst>
                <a:ext uri="{63B3BB69-23CF-44E3-9099-C40C66FF867C}">
                  <a14:compatExt spid="_x0000_s2997281"/>
                </a:ext>
                <a:ext uri="{FF2B5EF4-FFF2-40B4-BE49-F238E27FC236}">
                  <a16:creationId xmlns:a16="http://schemas.microsoft.com/office/drawing/2014/main" xmlns="" id="{00000000-0008-0000-0300-000021BC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164</xdr:row>
          <xdr:rowOff>9525</xdr:rowOff>
        </xdr:from>
        <xdr:to>
          <xdr:col>5</xdr:col>
          <xdr:colOff>733425</xdr:colOff>
          <xdr:row>164</xdr:row>
          <xdr:rowOff>200025</xdr:rowOff>
        </xdr:to>
        <xdr:sp macro="" textlink="">
          <xdr:nvSpPr>
            <xdr:cNvPr id="2997282" name="Option Button 34" hidden="1">
              <a:extLst>
                <a:ext uri="{63B3BB69-23CF-44E3-9099-C40C66FF867C}">
                  <a14:compatExt spid="_x0000_s2997282"/>
                </a:ext>
                <a:ext uri="{FF2B5EF4-FFF2-40B4-BE49-F238E27FC236}">
                  <a16:creationId xmlns:a16="http://schemas.microsoft.com/office/drawing/2014/main" xmlns="" id="{00000000-0008-0000-0300-000022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164</xdr:row>
          <xdr:rowOff>9525</xdr:rowOff>
        </xdr:from>
        <xdr:to>
          <xdr:col>6</xdr:col>
          <xdr:colOff>714375</xdr:colOff>
          <xdr:row>165</xdr:row>
          <xdr:rowOff>0</xdr:rowOff>
        </xdr:to>
        <xdr:sp macro="" textlink="">
          <xdr:nvSpPr>
            <xdr:cNvPr id="2997283" name="Option Button 35" hidden="1">
              <a:extLst>
                <a:ext uri="{63B3BB69-23CF-44E3-9099-C40C66FF867C}">
                  <a14:compatExt spid="_x0000_s2997283"/>
                </a:ext>
                <a:ext uri="{FF2B5EF4-FFF2-40B4-BE49-F238E27FC236}">
                  <a16:creationId xmlns:a16="http://schemas.microsoft.com/office/drawing/2014/main" xmlns="" id="{00000000-0008-0000-0300-000023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165</xdr:row>
          <xdr:rowOff>0</xdr:rowOff>
        </xdr:from>
        <xdr:to>
          <xdr:col>7</xdr:col>
          <xdr:colOff>0</xdr:colOff>
          <xdr:row>166</xdr:row>
          <xdr:rowOff>0</xdr:rowOff>
        </xdr:to>
        <xdr:sp macro="" textlink="">
          <xdr:nvSpPr>
            <xdr:cNvPr id="2997284" name="Group Box 36" hidden="1">
              <a:extLst>
                <a:ext uri="{63B3BB69-23CF-44E3-9099-C40C66FF867C}">
                  <a14:compatExt spid="_x0000_s2997284"/>
                </a:ext>
                <a:ext uri="{FF2B5EF4-FFF2-40B4-BE49-F238E27FC236}">
                  <a16:creationId xmlns:a16="http://schemas.microsoft.com/office/drawing/2014/main" xmlns="" id="{00000000-0008-0000-0300-000024BC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165</xdr:row>
          <xdr:rowOff>9525</xdr:rowOff>
        </xdr:from>
        <xdr:to>
          <xdr:col>5</xdr:col>
          <xdr:colOff>733425</xdr:colOff>
          <xdr:row>165</xdr:row>
          <xdr:rowOff>200025</xdr:rowOff>
        </xdr:to>
        <xdr:sp macro="" textlink="">
          <xdr:nvSpPr>
            <xdr:cNvPr id="2997285" name="Option Button 37" hidden="1">
              <a:extLst>
                <a:ext uri="{63B3BB69-23CF-44E3-9099-C40C66FF867C}">
                  <a14:compatExt spid="_x0000_s2997285"/>
                </a:ext>
                <a:ext uri="{FF2B5EF4-FFF2-40B4-BE49-F238E27FC236}">
                  <a16:creationId xmlns:a16="http://schemas.microsoft.com/office/drawing/2014/main" xmlns="" id="{00000000-0008-0000-0300-000025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165</xdr:row>
          <xdr:rowOff>9525</xdr:rowOff>
        </xdr:from>
        <xdr:to>
          <xdr:col>6</xdr:col>
          <xdr:colOff>723900</xdr:colOff>
          <xdr:row>165</xdr:row>
          <xdr:rowOff>266700</xdr:rowOff>
        </xdr:to>
        <xdr:sp macro="" textlink="">
          <xdr:nvSpPr>
            <xdr:cNvPr id="2997286" name="Option Button 38" hidden="1">
              <a:extLst>
                <a:ext uri="{63B3BB69-23CF-44E3-9099-C40C66FF867C}">
                  <a14:compatExt spid="_x0000_s2997286"/>
                </a:ext>
                <a:ext uri="{FF2B5EF4-FFF2-40B4-BE49-F238E27FC236}">
                  <a16:creationId xmlns:a16="http://schemas.microsoft.com/office/drawing/2014/main" xmlns="" id="{00000000-0008-0000-0300-000026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171</xdr:row>
          <xdr:rowOff>0</xdr:rowOff>
        </xdr:from>
        <xdr:to>
          <xdr:col>7</xdr:col>
          <xdr:colOff>0</xdr:colOff>
          <xdr:row>172</xdr:row>
          <xdr:rowOff>0</xdr:rowOff>
        </xdr:to>
        <xdr:sp macro="" textlink="">
          <xdr:nvSpPr>
            <xdr:cNvPr id="2997287" name="Group Box 39" hidden="1">
              <a:extLst>
                <a:ext uri="{63B3BB69-23CF-44E3-9099-C40C66FF867C}">
                  <a14:compatExt spid="_x0000_s2997287"/>
                </a:ext>
                <a:ext uri="{FF2B5EF4-FFF2-40B4-BE49-F238E27FC236}">
                  <a16:creationId xmlns:a16="http://schemas.microsoft.com/office/drawing/2014/main" xmlns="" id="{00000000-0008-0000-0300-000027BC2D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171</xdr:row>
          <xdr:rowOff>104775</xdr:rowOff>
        </xdr:from>
        <xdr:to>
          <xdr:col>5</xdr:col>
          <xdr:colOff>752475</xdr:colOff>
          <xdr:row>171</xdr:row>
          <xdr:rowOff>333375</xdr:rowOff>
        </xdr:to>
        <xdr:sp macro="" textlink="">
          <xdr:nvSpPr>
            <xdr:cNvPr id="2997288" name="Option Button 40" hidden="1">
              <a:extLst>
                <a:ext uri="{63B3BB69-23CF-44E3-9099-C40C66FF867C}">
                  <a14:compatExt spid="_x0000_s2997288"/>
                </a:ext>
                <a:ext uri="{FF2B5EF4-FFF2-40B4-BE49-F238E27FC236}">
                  <a16:creationId xmlns:a16="http://schemas.microsoft.com/office/drawing/2014/main" xmlns="" id="{00000000-0008-0000-0300-000028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171</xdr:row>
          <xdr:rowOff>104775</xdr:rowOff>
        </xdr:from>
        <xdr:to>
          <xdr:col>6</xdr:col>
          <xdr:colOff>752475</xdr:colOff>
          <xdr:row>171</xdr:row>
          <xdr:rowOff>333375</xdr:rowOff>
        </xdr:to>
        <xdr:sp macro="" textlink="">
          <xdr:nvSpPr>
            <xdr:cNvPr id="2997289" name="Option Button 41" hidden="1">
              <a:extLst>
                <a:ext uri="{63B3BB69-23CF-44E3-9099-C40C66FF867C}">
                  <a14:compatExt spid="_x0000_s2997289"/>
                </a:ext>
                <a:ext uri="{FF2B5EF4-FFF2-40B4-BE49-F238E27FC236}">
                  <a16:creationId xmlns:a16="http://schemas.microsoft.com/office/drawing/2014/main" xmlns="" id="{00000000-0008-0000-0300-000029BC2D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5716</xdr:colOff>
      <xdr:row>0</xdr:row>
      <xdr:rowOff>108584</xdr:rowOff>
    </xdr:from>
    <xdr:to>
      <xdr:col>5</xdr:col>
      <xdr:colOff>203722</xdr:colOff>
      <xdr:row>0</xdr:row>
      <xdr:rowOff>464836</xdr:rowOff>
    </xdr:to>
    <xdr:sp macro="" textlink="">
      <xdr:nvSpPr>
        <xdr:cNvPr id="2" name="Testo 1">
          <a:extLst>
            <a:ext uri="{FF2B5EF4-FFF2-40B4-BE49-F238E27FC236}">
              <a16:creationId xmlns:a16="http://schemas.microsoft.com/office/drawing/2014/main" xmlns="" id="{00000000-0008-0000-0400-000002000000}"/>
            </a:ext>
          </a:extLst>
        </xdr:cNvPr>
        <xdr:cNvSpPr>
          <a:spLocks noChangeArrowheads="1"/>
        </xdr:cNvSpPr>
      </xdr:nvSpPr>
      <xdr:spPr bwMode="auto">
        <a:xfrm>
          <a:off x="375286" y="104774"/>
          <a:ext cx="5851525" cy="363895"/>
        </a:xfrm>
        <a:prstGeom prst="roundRect">
          <a:avLst>
            <a:gd name="adj" fmla="val 16667"/>
          </a:avLst>
        </a:prstGeom>
        <a:solidFill>
          <a:srgbClr val="C0C0C0"/>
        </a:solidFill>
        <a:ln w="9525">
          <a:solidFill>
            <a:srgbClr val="000000"/>
          </a:solidFill>
          <a:round/>
          <a:headEnd/>
          <a:tailEnd/>
        </a:ln>
        <a:effectLst>
          <a:outerShdw dist="35921" dir="2700000" algn="ctr" rotWithShape="0">
            <a:srgbClr val="000000"/>
          </a:outerShdw>
        </a:effectLst>
      </xdr:spPr>
      <xdr:txBody>
        <a:bodyPr vertOverflow="clip" wrap="square" lIns="45720" tIns="36576" rIns="45720" bIns="36576" anchor="ctr" upright="1"/>
        <a:lstStyle/>
        <a:p>
          <a:pPr algn="ctr" rtl="0">
            <a:defRPr sz="1000"/>
          </a:pPr>
          <a:r>
            <a:rPr lang="it-IT" sz="1800" b="1" i="0" strike="noStrike">
              <a:solidFill>
                <a:srgbClr val="000000"/>
              </a:solidFill>
              <a:latin typeface="Arial"/>
              <a:cs typeface="Arial"/>
            </a:rPr>
            <a:t>SCHEDA INFORMATIVA 1A_CONV</a:t>
          </a:r>
        </a:p>
      </xdr:txBody>
    </xdr:sp>
    <xdr:clientData/>
  </xdr:twoCellAnchor>
  <mc:AlternateContent xmlns:mc="http://schemas.openxmlformats.org/markup-compatibility/2006">
    <mc:Choice xmlns:a14="http://schemas.microsoft.com/office/drawing/2010/main" Requires="a14">
      <xdr:twoCellAnchor editAs="oneCell">
        <xdr:from>
          <xdr:col>5</xdr:col>
          <xdr:colOff>0</xdr:colOff>
          <xdr:row>6</xdr:row>
          <xdr:rowOff>0</xdr:rowOff>
        </xdr:from>
        <xdr:to>
          <xdr:col>7</xdr:col>
          <xdr:colOff>0</xdr:colOff>
          <xdr:row>7</xdr:row>
          <xdr:rowOff>0</xdr:rowOff>
        </xdr:to>
        <xdr:sp macro="" textlink="">
          <xdr:nvSpPr>
            <xdr:cNvPr id="2028545" name="Group Box 1" hidden="1">
              <a:extLst>
                <a:ext uri="{63B3BB69-23CF-44E3-9099-C40C66FF867C}">
                  <a14:compatExt spid="_x0000_s2028545"/>
                </a:ext>
                <a:ext uri="{FF2B5EF4-FFF2-40B4-BE49-F238E27FC236}">
                  <a16:creationId xmlns:a16="http://schemas.microsoft.com/office/drawing/2014/main" xmlns="" id="{00000000-0008-0000-0400-000001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6</xdr:row>
          <xdr:rowOff>66675</xdr:rowOff>
        </xdr:from>
        <xdr:to>
          <xdr:col>5</xdr:col>
          <xdr:colOff>790575</xdr:colOff>
          <xdr:row>6</xdr:row>
          <xdr:rowOff>276225</xdr:rowOff>
        </xdr:to>
        <xdr:sp macro="" textlink="">
          <xdr:nvSpPr>
            <xdr:cNvPr id="2028546" name="Option Button 2" hidden="1">
              <a:extLst>
                <a:ext uri="{63B3BB69-23CF-44E3-9099-C40C66FF867C}">
                  <a14:compatExt spid="_x0000_s2028546"/>
                </a:ext>
                <a:ext uri="{FF2B5EF4-FFF2-40B4-BE49-F238E27FC236}">
                  <a16:creationId xmlns:a16="http://schemas.microsoft.com/office/drawing/2014/main" xmlns="" id="{00000000-0008-0000-0400-000002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6</xdr:row>
          <xdr:rowOff>66675</xdr:rowOff>
        </xdr:from>
        <xdr:to>
          <xdr:col>6</xdr:col>
          <xdr:colOff>695325</xdr:colOff>
          <xdr:row>6</xdr:row>
          <xdr:rowOff>276225</xdr:rowOff>
        </xdr:to>
        <xdr:sp macro="" textlink="">
          <xdr:nvSpPr>
            <xdr:cNvPr id="2028547" name="Option Button 3" hidden="1">
              <a:extLst>
                <a:ext uri="{63B3BB69-23CF-44E3-9099-C40C66FF867C}">
                  <a14:compatExt spid="_x0000_s2028547"/>
                </a:ext>
                <a:ext uri="{FF2B5EF4-FFF2-40B4-BE49-F238E27FC236}">
                  <a16:creationId xmlns:a16="http://schemas.microsoft.com/office/drawing/2014/main" xmlns="" id="{00000000-0008-0000-0400-000003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7</xdr:col>
          <xdr:colOff>0</xdr:colOff>
          <xdr:row>13</xdr:row>
          <xdr:rowOff>0</xdr:rowOff>
        </xdr:to>
        <xdr:sp macro="" textlink="">
          <xdr:nvSpPr>
            <xdr:cNvPr id="2028548" name="Group Box 4" hidden="1">
              <a:extLst>
                <a:ext uri="{63B3BB69-23CF-44E3-9099-C40C66FF867C}">
                  <a14:compatExt spid="_x0000_s2028548"/>
                </a:ext>
                <a:ext uri="{FF2B5EF4-FFF2-40B4-BE49-F238E27FC236}">
                  <a16:creationId xmlns:a16="http://schemas.microsoft.com/office/drawing/2014/main" xmlns="" id="{00000000-0008-0000-0400-000004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12</xdr:row>
          <xdr:rowOff>123825</xdr:rowOff>
        </xdr:from>
        <xdr:to>
          <xdr:col>5</xdr:col>
          <xdr:colOff>752475</xdr:colOff>
          <xdr:row>12</xdr:row>
          <xdr:rowOff>333375</xdr:rowOff>
        </xdr:to>
        <xdr:sp macro="" textlink="">
          <xdr:nvSpPr>
            <xdr:cNvPr id="2028549" name="Option Button 5" hidden="1">
              <a:extLst>
                <a:ext uri="{63B3BB69-23CF-44E3-9099-C40C66FF867C}">
                  <a14:compatExt spid="_x0000_s2028549"/>
                </a:ext>
                <a:ext uri="{FF2B5EF4-FFF2-40B4-BE49-F238E27FC236}">
                  <a16:creationId xmlns:a16="http://schemas.microsoft.com/office/drawing/2014/main" xmlns="" id="{00000000-0008-0000-0400-000005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12</xdr:row>
          <xdr:rowOff>123825</xdr:rowOff>
        </xdr:from>
        <xdr:to>
          <xdr:col>6</xdr:col>
          <xdr:colOff>685800</xdr:colOff>
          <xdr:row>12</xdr:row>
          <xdr:rowOff>333375</xdr:rowOff>
        </xdr:to>
        <xdr:sp macro="" textlink="">
          <xdr:nvSpPr>
            <xdr:cNvPr id="2028550" name="Option Button 6" hidden="1">
              <a:extLst>
                <a:ext uri="{63B3BB69-23CF-44E3-9099-C40C66FF867C}">
                  <a14:compatExt spid="_x0000_s2028550"/>
                </a:ext>
                <a:ext uri="{FF2B5EF4-FFF2-40B4-BE49-F238E27FC236}">
                  <a16:creationId xmlns:a16="http://schemas.microsoft.com/office/drawing/2014/main" xmlns="" id="{00000000-0008-0000-0400-000006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xdr:row>
          <xdr:rowOff>0</xdr:rowOff>
        </xdr:from>
        <xdr:to>
          <xdr:col>7</xdr:col>
          <xdr:colOff>0</xdr:colOff>
          <xdr:row>15</xdr:row>
          <xdr:rowOff>0</xdr:rowOff>
        </xdr:to>
        <xdr:sp macro="" textlink="">
          <xdr:nvSpPr>
            <xdr:cNvPr id="2028551" name="Group Box 7" hidden="1">
              <a:extLst>
                <a:ext uri="{63B3BB69-23CF-44E3-9099-C40C66FF867C}">
                  <a14:compatExt spid="_x0000_s2028551"/>
                </a:ext>
                <a:ext uri="{FF2B5EF4-FFF2-40B4-BE49-F238E27FC236}">
                  <a16:creationId xmlns:a16="http://schemas.microsoft.com/office/drawing/2014/main" xmlns="" id="{00000000-0008-0000-0400-000007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14</xdr:row>
          <xdr:rowOff>76200</xdr:rowOff>
        </xdr:from>
        <xdr:to>
          <xdr:col>5</xdr:col>
          <xdr:colOff>752475</xdr:colOff>
          <xdr:row>15</xdr:row>
          <xdr:rowOff>0</xdr:rowOff>
        </xdr:to>
        <xdr:sp macro="" textlink="">
          <xdr:nvSpPr>
            <xdr:cNvPr id="2028552" name="Option Button 8" hidden="1">
              <a:extLst>
                <a:ext uri="{63B3BB69-23CF-44E3-9099-C40C66FF867C}">
                  <a14:compatExt spid="_x0000_s2028552"/>
                </a:ext>
                <a:ext uri="{FF2B5EF4-FFF2-40B4-BE49-F238E27FC236}">
                  <a16:creationId xmlns:a16="http://schemas.microsoft.com/office/drawing/2014/main" xmlns="" id="{00000000-0008-0000-0400-000008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466725</xdr:colOff>
          <xdr:row>14</xdr:row>
          <xdr:rowOff>114300</xdr:rowOff>
        </xdr:from>
        <xdr:to>
          <xdr:col>6</xdr:col>
          <xdr:colOff>714375</xdr:colOff>
          <xdr:row>15</xdr:row>
          <xdr:rowOff>0</xdr:rowOff>
        </xdr:to>
        <xdr:sp macro="" textlink="">
          <xdr:nvSpPr>
            <xdr:cNvPr id="2028553" name="Option Button 9" hidden="1">
              <a:extLst>
                <a:ext uri="{63B3BB69-23CF-44E3-9099-C40C66FF867C}">
                  <a14:compatExt spid="_x0000_s2028553"/>
                </a:ext>
                <a:ext uri="{FF2B5EF4-FFF2-40B4-BE49-F238E27FC236}">
                  <a16:creationId xmlns:a16="http://schemas.microsoft.com/office/drawing/2014/main" xmlns="" id="{00000000-0008-0000-0400-000009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xdr:row>
          <xdr:rowOff>0</xdr:rowOff>
        </xdr:from>
        <xdr:to>
          <xdr:col>7</xdr:col>
          <xdr:colOff>0</xdr:colOff>
          <xdr:row>17</xdr:row>
          <xdr:rowOff>0</xdr:rowOff>
        </xdr:to>
        <xdr:sp macro="" textlink="">
          <xdr:nvSpPr>
            <xdr:cNvPr id="2028554" name="Group Box 10" hidden="1">
              <a:extLst>
                <a:ext uri="{63B3BB69-23CF-44E3-9099-C40C66FF867C}">
                  <a14:compatExt spid="_x0000_s2028554"/>
                </a:ext>
                <a:ext uri="{FF2B5EF4-FFF2-40B4-BE49-F238E27FC236}">
                  <a16:creationId xmlns:a16="http://schemas.microsoft.com/office/drawing/2014/main" xmlns="" id="{00000000-0008-0000-0400-00000A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16</xdr:row>
          <xdr:rowOff>104775</xdr:rowOff>
        </xdr:from>
        <xdr:to>
          <xdr:col>5</xdr:col>
          <xdr:colOff>771525</xdr:colOff>
          <xdr:row>17</xdr:row>
          <xdr:rowOff>0</xdr:rowOff>
        </xdr:to>
        <xdr:sp macro="" textlink="">
          <xdr:nvSpPr>
            <xdr:cNvPr id="2028555" name="Option Button 11" hidden="1">
              <a:extLst>
                <a:ext uri="{63B3BB69-23CF-44E3-9099-C40C66FF867C}">
                  <a14:compatExt spid="_x0000_s2028555"/>
                </a:ext>
                <a:ext uri="{FF2B5EF4-FFF2-40B4-BE49-F238E27FC236}">
                  <a16:creationId xmlns:a16="http://schemas.microsoft.com/office/drawing/2014/main" xmlns="" id="{00000000-0008-0000-0400-00000B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16</xdr:row>
          <xdr:rowOff>85725</xdr:rowOff>
        </xdr:from>
        <xdr:to>
          <xdr:col>6</xdr:col>
          <xdr:colOff>752475</xdr:colOff>
          <xdr:row>17</xdr:row>
          <xdr:rowOff>0</xdr:rowOff>
        </xdr:to>
        <xdr:sp macro="" textlink="">
          <xdr:nvSpPr>
            <xdr:cNvPr id="2028556" name="Option Button 12" hidden="1">
              <a:extLst>
                <a:ext uri="{63B3BB69-23CF-44E3-9099-C40C66FF867C}">
                  <a14:compatExt spid="_x0000_s2028556"/>
                </a:ext>
                <a:ext uri="{FF2B5EF4-FFF2-40B4-BE49-F238E27FC236}">
                  <a16:creationId xmlns:a16="http://schemas.microsoft.com/office/drawing/2014/main" xmlns="" id="{00000000-0008-0000-0400-00000C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18</xdr:row>
          <xdr:rowOff>0</xdr:rowOff>
        </xdr:from>
        <xdr:to>
          <xdr:col>7</xdr:col>
          <xdr:colOff>0</xdr:colOff>
          <xdr:row>19</xdr:row>
          <xdr:rowOff>0</xdr:rowOff>
        </xdr:to>
        <xdr:sp macro="" textlink="">
          <xdr:nvSpPr>
            <xdr:cNvPr id="2028557" name="Group Box 13" hidden="1">
              <a:extLst>
                <a:ext uri="{63B3BB69-23CF-44E3-9099-C40C66FF867C}">
                  <a14:compatExt spid="_x0000_s2028557"/>
                </a:ext>
                <a:ext uri="{FF2B5EF4-FFF2-40B4-BE49-F238E27FC236}">
                  <a16:creationId xmlns:a16="http://schemas.microsoft.com/office/drawing/2014/main" xmlns="" id="{00000000-0008-0000-0400-00000D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18</xdr:row>
          <xdr:rowOff>104775</xdr:rowOff>
        </xdr:from>
        <xdr:to>
          <xdr:col>5</xdr:col>
          <xdr:colOff>809625</xdr:colOff>
          <xdr:row>18</xdr:row>
          <xdr:rowOff>333375</xdr:rowOff>
        </xdr:to>
        <xdr:sp macro="" textlink="">
          <xdr:nvSpPr>
            <xdr:cNvPr id="2028558" name="Option Button 14" hidden="1">
              <a:extLst>
                <a:ext uri="{63B3BB69-23CF-44E3-9099-C40C66FF867C}">
                  <a14:compatExt spid="_x0000_s2028558"/>
                </a:ext>
                <a:ext uri="{FF2B5EF4-FFF2-40B4-BE49-F238E27FC236}">
                  <a16:creationId xmlns:a16="http://schemas.microsoft.com/office/drawing/2014/main" xmlns="" id="{00000000-0008-0000-0400-00000E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18</xdr:row>
          <xdr:rowOff>85725</xdr:rowOff>
        </xdr:from>
        <xdr:to>
          <xdr:col>6</xdr:col>
          <xdr:colOff>752475</xdr:colOff>
          <xdr:row>19</xdr:row>
          <xdr:rowOff>0</xdr:rowOff>
        </xdr:to>
        <xdr:sp macro="" textlink="">
          <xdr:nvSpPr>
            <xdr:cNvPr id="2028559" name="Option Button 15" hidden="1">
              <a:extLst>
                <a:ext uri="{63B3BB69-23CF-44E3-9099-C40C66FF867C}">
                  <a14:compatExt spid="_x0000_s2028559"/>
                </a:ext>
                <a:ext uri="{FF2B5EF4-FFF2-40B4-BE49-F238E27FC236}">
                  <a16:creationId xmlns:a16="http://schemas.microsoft.com/office/drawing/2014/main" xmlns="" id="{00000000-0008-0000-0400-00000F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20</xdr:row>
          <xdr:rowOff>0</xdr:rowOff>
        </xdr:from>
        <xdr:to>
          <xdr:col>7</xdr:col>
          <xdr:colOff>0</xdr:colOff>
          <xdr:row>21</xdr:row>
          <xdr:rowOff>0</xdr:rowOff>
        </xdr:to>
        <xdr:sp macro="" textlink="">
          <xdr:nvSpPr>
            <xdr:cNvPr id="2028560" name="Group Box 16" hidden="1">
              <a:extLst>
                <a:ext uri="{63B3BB69-23CF-44E3-9099-C40C66FF867C}">
                  <a14:compatExt spid="_x0000_s2028560"/>
                </a:ext>
                <a:ext uri="{FF2B5EF4-FFF2-40B4-BE49-F238E27FC236}">
                  <a16:creationId xmlns:a16="http://schemas.microsoft.com/office/drawing/2014/main" xmlns="" id="{00000000-0008-0000-0400-000010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20</xdr:row>
          <xdr:rowOff>85725</xdr:rowOff>
        </xdr:from>
        <xdr:to>
          <xdr:col>5</xdr:col>
          <xdr:colOff>809625</xdr:colOff>
          <xdr:row>21</xdr:row>
          <xdr:rowOff>0</xdr:rowOff>
        </xdr:to>
        <xdr:sp macro="" textlink="">
          <xdr:nvSpPr>
            <xdr:cNvPr id="2028561" name="Option Button 17" hidden="1">
              <a:extLst>
                <a:ext uri="{63B3BB69-23CF-44E3-9099-C40C66FF867C}">
                  <a14:compatExt spid="_x0000_s2028561"/>
                </a:ext>
                <a:ext uri="{FF2B5EF4-FFF2-40B4-BE49-F238E27FC236}">
                  <a16:creationId xmlns:a16="http://schemas.microsoft.com/office/drawing/2014/main" xmlns="" id="{00000000-0008-0000-0400-000011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20</xdr:row>
          <xdr:rowOff>85725</xdr:rowOff>
        </xdr:from>
        <xdr:to>
          <xdr:col>6</xdr:col>
          <xdr:colOff>752475</xdr:colOff>
          <xdr:row>21</xdr:row>
          <xdr:rowOff>0</xdr:rowOff>
        </xdr:to>
        <xdr:sp macro="" textlink="">
          <xdr:nvSpPr>
            <xdr:cNvPr id="2028562" name="Option Button 18" hidden="1">
              <a:extLst>
                <a:ext uri="{63B3BB69-23CF-44E3-9099-C40C66FF867C}">
                  <a14:compatExt spid="_x0000_s2028562"/>
                </a:ext>
                <a:ext uri="{FF2B5EF4-FFF2-40B4-BE49-F238E27FC236}">
                  <a16:creationId xmlns:a16="http://schemas.microsoft.com/office/drawing/2014/main" xmlns="" id="{00000000-0008-0000-0400-000012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22</xdr:row>
          <xdr:rowOff>0</xdr:rowOff>
        </xdr:from>
        <xdr:to>
          <xdr:col>7</xdr:col>
          <xdr:colOff>0</xdr:colOff>
          <xdr:row>23</xdr:row>
          <xdr:rowOff>0</xdr:rowOff>
        </xdr:to>
        <xdr:sp macro="" textlink="">
          <xdr:nvSpPr>
            <xdr:cNvPr id="2028563" name="Group Box 19" hidden="1">
              <a:extLst>
                <a:ext uri="{63B3BB69-23CF-44E3-9099-C40C66FF867C}">
                  <a14:compatExt spid="_x0000_s2028563"/>
                </a:ext>
                <a:ext uri="{FF2B5EF4-FFF2-40B4-BE49-F238E27FC236}">
                  <a16:creationId xmlns:a16="http://schemas.microsoft.com/office/drawing/2014/main" xmlns="" id="{00000000-0008-0000-0400-000013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22</xdr:row>
          <xdr:rowOff>66675</xdr:rowOff>
        </xdr:from>
        <xdr:to>
          <xdr:col>5</xdr:col>
          <xdr:colOff>809625</xdr:colOff>
          <xdr:row>23</xdr:row>
          <xdr:rowOff>0</xdr:rowOff>
        </xdr:to>
        <xdr:sp macro="" textlink="">
          <xdr:nvSpPr>
            <xdr:cNvPr id="2028564" name="Option Button 20" hidden="1">
              <a:extLst>
                <a:ext uri="{63B3BB69-23CF-44E3-9099-C40C66FF867C}">
                  <a14:compatExt spid="_x0000_s2028564"/>
                </a:ext>
                <a:ext uri="{FF2B5EF4-FFF2-40B4-BE49-F238E27FC236}">
                  <a16:creationId xmlns:a16="http://schemas.microsoft.com/office/drawing/2014/main" xmlns="" id="{00000000-0008-0000-0400-000014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22</xdr:row>
          <xdr:rowOff>76200</xdr:rowOff>
        </xdr:from>
        <xdr:to>
          <xdr:col>6</xdr:col>
          <xdr:colOff>752475</xdr:colOff>
          <xdr:row>23</xdr:row>
          <xdr:rowOff>0</xdr:rowOff>
        </xdr:to>
        <xdr:sp macro="" textlink="">
          <xdr:nvSpPr>
            <xdr:cNvPr id="2028565" name="Option Button 21" hidden="1">
              <a:extLst>
                <a:ext uri="{63B3BB69-23CF-44E3-9099-C40C66FF867C}">
                  <a14:compatExt spid="_x0000_s2028565"/>
                </a:ext>
                <a:ext uri="{FF2B5EF4-FFF2-40B4-BE49-F238E27FC236}">
                  <a16:creationId xmlns:a16="http://schemas.microsoft.com/office/drawing/2014/main" xmlns="" id="{00000000-0008-0000-0400-000015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24</xdr:row>
          <xdr:rowOff>0</xdr:rowOff>
        </xdr:from>
        <xdr:to>
          <xdr:col>7</xdr:col>
          <xdr:colOff>0</xdr:colOff>
          <xdr:row>25</xdr:row>
          <xdr:rowOff>0</xdr:rowOff>
        </xdr:to>
        <xdr:sp macro="" textlink="">
          <xdr:nvSpPr>
            <xdr:cNvPr id="2028566" name="Group Box 22" hidden="1">
              <a:extLst>
                <a:ext uri="{63B3BB69-23CF-44E3-9099-C40C66FF867C}">
                  <a14:compatExt spid="_x0000_s2028566"/>
                </a:ext>
                <a:ext uri="{FF2B5EF4-FFF2-40B4-BE49-F238E27FC236}">
                  <a16:creationId xmlns:a16="http://schemas.microsoft.com/office/drawing/2014/main" xmlns="" id="{00000000-0008-0000-0400-000016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24</xdr:row>
          <xdr:rowOff>85725</xdr:rowOff>
        </xdr:from>
        <xdr:to>
          <xdr:col>5</xdr:col>
          <xdr:colOff>771525</xdr:colOff>
          <xdr:row>25</xdr:row>
          <xdr:rowOff>0</xdr:rowOff>
        </xdr:to>
        <xdr:sp macro="" textlink="">
          <xdr:nvSpPr>
            <xdr:cNvPr id="2028567" name="Option Button 23" hidden="1">
              <a:extLst>
                <a:ext uri="{63B3BB69-23CF-44E3-9099-C40C66FF867C}">
                  <a14:compatExt spid="_x0000_s2028567"/>
                </a:ext>
                <a:ext uri="{FF2B5EF4-FFF2-40B4-BE49-F238E27FC236}">
                  <a16:creationId xmlns:a16="http://schemas.microsoft.com/office/drawing/2014/main" xmlns="" id="{00000000-0008-0000-0400-000017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24</xdr:row>
          <xdr:rowOff>114300</xdr:rowOff>
        </xdr:from>
        <xdr:to>
          <xdr:col>6</xdr:col>
          <xdr:colOff>752475</xdr:colOff>
          <xdr:row>25</xdr:row>
          <xdr:rowOff>0</xdr:rowOff>
        </xdr:to>
        <xdr:sp macro="" textlink="">
          <xdr:nvSpPr>
            <xdr:cNvPr id="2028568" name="Option Button 24" hidden="1">
              <a:extLst>
                <a:ext uri="{63B3BB69-23CF-44E3-9099-C40C66FF867C}">
                  <a14:compatExt spid="_x0000_s2028568"/>
                </a:ext>
                <a:ext uri="{FF2B5EF4-FFF2-40B4-BE49-F238E27FC236}">
                  <a16:creationId xmlns:a16="http://schemas.microsoft.com/office/drawing/2014/main" xmlns="" id="{00000000-0008-0000-0400-000018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xdr:row>
          <xdr:rowOff>0</xdr:rowOff>
        </xdr:from>
        <xdr:to>
          <xdr:col>7</xdr:col>
          <xdr:colOff>0</xdr:colOff>
          <xdr:row>27</xdr:row>
          <xdr:rowOff>0</xdr:rowOff>
        </xdr:to>
        <xdr:sp macro="" textlink="">
          <xdr:nvSpPr>
            <xdr:cNvPr id="2028569" name="Group Box 25" hidden="1">
              <a:extLst>
                <a:ext uri="{63B3BB69-23CF-44E3-9099-C40C66FF867C}">
                  <a14:compatExt spid="_x0000_s2028569"/>
                </a:ext>
                <a:ext uri="{FF2B5EF4-FFF2-40B4-BE49-F238E27FC236}">
                  <a16:creationId xmlns:a16="http://schemas.microsoft.com/office/drawing/2014/main" xmlns="" id="{00000000-0008-0000-0400-000019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26</xdr:row>
          <xdr:rowOff>85725</xdr:rowOff>
        </xdr:from>
        <xdr:to>
          <xdr:col>5</xdr:col>
          <xdr:colOff>771525</xdr:colOff>
          <xdr:row>27</xdr:row>
          <xdr:rowOff>0</xdr:rowOff>
        </xdr:to>
        <xdr:sp macro="" textlink="">
          <xdr:nvSpPr>
            <xdr:cNvPr id="2028570" name="Option Button 26" hidden="1">
              <a:extLst>
                <a:ext uri="{63B3BB69-23CF-44E3-9099-C40C66FF867C}">
                  <a14:compatExt spid="_x0000_s2028570"/>
                </a:ext>
                <a:ext uri="{FF2B5EF4-FFF2-40B4-BE49-F238E27FC236}">
                  <a16:creationId xmlns:a16="http://schemas.microsoft.com/office/drawing/2014/main" xmlns="" id="{00000000-0008-0000-0400-00001A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26</xdr:row>
          <xdr:rowOff>104775</xdr:rowOff>
        </xdr:from>
        <xdr:to>
          <xdr:col>6</xdr:col>
          <xdr:colOff>790575</xdr:colOff>
          <xdr:row>27</xdr:row>
          <xdr:rowOff>0</xdr:rowOff>
        </xdr:to>
        <xdr:sp macro="" textlink="">
          <xdr:nvSpPr>
            <xdr:cNvPr id="2028571" name="Option Button 27" hidden="1">
              <a:extLst>
                <a:ext uri="{63B3BB69-23CF-44E3-9099-C40C66FF867C}">
                  <a14:compatExt spid="_x0000_s2028571"/>
                </a:ext>
                <a:ext uri="{FF2B5EF4-FFF2-40B4-BE49-F238E27FC236}">
                  <a16:creationId xmlns:a16="http://schemas.microsoft.com/office/drawing/2014/main" xmlns="" id="{00000000-0008-0000-0400-00001B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xdr:row>
          <xdr:rowOff>0</xdr:rowOff>
        </xdr:from>
        <xdr:to>
          <xdr:col>7</xdr:col>
          <xdr:colOff>0</xdr:colOff>
          <xdr:row>29</xdr:row>
          <xdr:rowOff>0</xdr:rowOff>
        </xdr:to>
        <xdr:sp macro="" textlink="">
          <xdr:nvSpPr>
            <xdr:cNvPr id="2028572" name="Group Box 28" hidden="1">
              <a:extLst>
                <a:ext uri="{63B3BB69-23CF-44E3-9099-C40C66FF867C}">
                  <a14:compatExt spid="_x0000_s2028572"/>
                </a:ext>
                <a:ext uri="{FF2B5EF4-FFF2-40B4-BE49-F238E27FC236}">
                  <a16:creationId xmlns:a16="http://schemas.microsoft.com/office/drawing/2014/main" xmlns="" id="{00000000-0008-0000-0400-00001C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28</xdr:row>
          <xdr:rowOff>85725</xdr:rowOff>
        </xdr:from>
        <xdr:to>
          <xdr:col>5</xdr:col>
          <xdr:colOff>771525</xdr:colOff>
          <xdr:row>29</xdr:row>
          <xdr:rowOff>0</xdr:rowOff>
        </xdr:to>
        <xdr:sp macro="" textlink="">
          <xdr:nvSpPr>
            <xdr:cNvPr id="2028573" name="Option Button 29" hidden="1">
              <a:extLst>
                <a:ext uri="{63B3BB69-23CF-44E3-9099-C40C66FF867C}">
                  <a14:compatExt spid="_x0000_s2028573"/>
                </a:ext>
                <a:ext uri="{FF2B5EF4-FFF2-40B4-BE49-F238E27FC236}">
                  <a16:creationId xmlns:a16="http://schemas.microsoft.com/office/drawing/2014/main" xmlns="" id="{00000000-0008-0000-0400-00001D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28</xdr:row>
          <xdr:rowOff>104775</xdr:rowOff>
        </xdr:from>
        <xdr:to>
          <xdr:col>6</xdr:col>
          <xdr:colOff>752475</xdr:colOff>
          <xdr:row>29</xdr:row>
          <xdr:rowOff>0</xdr:rowOff>
        </xdr:to>
        <xdr:sp macro="" textlink="">
          <xdr:nvSpPr>
            <xdr:cNvPr id="2028574" name="Option Button 30" hidden="1">
              <a:extLst>
                <a:ext uri="{63B3BB69-23CF-44E3-9099-C40C66FF867C}">
                  <a14:compatExt spid="_x0000_s2028574"/>
                </a:ext>
                <a:ext uri="{FF2B5EF4-FFF2-40B4-BE49-F238E27FC236}">
                  <a16:creationId xmlns:a16="http://schemas.microsoft.com/office/drawing/2014/main" xmlns="" id="{00000000-0008-0000-0400-00001E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1190625</xdr:colOff>
          <xdr:row>30</xdr:row>
          <xdr:rowOff>0</xdr:rowOff>
        </xdr:from>
        <xdr:to>
          <xdr:col>7</xdr:col>
          <xdr:colOff>0</xdr:colOff>
          <xdr:row>31</xdr:row>
          <xdr:rowOff>0</xdr:rowOff>
        </xdr:to>
        <xdr:sp macro="" textlink="">
          <xdr:nvSpPr>
            <xdr:cNvPr id="2028575" name="Group Box 31" hidden="1">
              <a:extLst>
                <a:ext uri="{63B3BB69-23CF-44E3-9099-C40C66FF867C}">
                  <a14:compatExt spid="_x0000_s2028575"/>
                </a:ext>
                <a:ext uri="{FF2B5EF4-FFF2-40B4-BE49-F238E27FC236}">
                  <a16:creationId xmlns:a16="http://schemas.microsoft.com/office/drawing/2014/main" xmlns="" id="{00000000-0008-0000-0400-00001F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30</xdr:row>
          <xdr:rowOff>104775</xdr:rowOff>
        </xdr:from>
        <xdr:to>
          <xdr:col>5</xdr:col>
          <xdr:colOff>809625</xdr:colOff>
          <xdr:row>31</xdr:row>
          <xdr:rowOff>0</xdr:rowOff>
        </xdr:to>
        <xdr:sp macro="" textlink="">
          <xdr:nvSpPr>
            <xdr:cNvPr id="2028576" name="Option Button 32" hidden="1">
              <a:extLst>
                <a:ext uri="{63B3BB69-23CF-44E3-9099-C40C66FF867C}">
                  <a14:compatExt spid="_x0000_s2028576"/>
                </a:ext>
                <a:ext uri="{FF2B5EF4-FFF2-40B4-BE49-F238E27FC236}">
                  <a16:creationId xmlns:a16="http://schemas.microsoft.com/office/drawing/2014/main" xmlns="" id="{00000000-0008-0000-0400-000020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30</xdr:row>
          <xdr:rowOff>114300</xdr:rowOff>
        </xdr:from>
        <xdr:to>
          <xdr:col>6</xdr:col>
          <xdr:colOff>752475</xdr:colOff>
          <xdr:row>31</xdr:row>
          <xdr:rowOff>0</xdr:rowOff>
        </xdr:to>
        <xdr:sp macro="" textlink="">
          <xdr:nvSpPr>
            <xdr:cNvPr id="2028577" name="Option Button 33" hidden="1">
              <a:extLst>
                <a:ext uri="{63B3BB69-23CF-44E3-9099-C40C66FF867C}">
                  <a14:compatExt spid="_x0000_s2028577"/>
                </a:ext>
                <a:ext uri="{FF2B5EF4-FFF2-40B4-BE49-F238E27FC236}">
                  <a16:creationId xmlns:a16="http://schemas.microsoft.com/office/drawing/2014/main" xmlns="" id="{00000000-0008-0000-0400-000021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32</xdr:row>
          <xdr:rowOff>0</xdr:rowOff>
        </xdr:from>
        <xdr:to>
          <xdr:col>7</xdr:col>
          <xdr:colOff>0</xdr:colOff>
          <xdr:row>33</xdr:row>
          <xdr:rowOff>0</xdr:rowOff>
        </xdr:to>
        <xdr:sp macro="" textlink="">
          <xdr:nvSpPr>
            <xdr:cNvPr id="2028578" name="Group Box 34" hidden="1">
              <a:extLst>
                <a:ext uri="{63B3BB69-23CF-44E3-9099-C40C66FF867C}">
                  <a14:compatExt spid="_x0000_s2028578"/>
                </a:ext>
                <a:ext uri="{FF2B5EF4-FFF2-40B4-BE49-F238E27FC236}">
                  <a16:creationId xmlns:a16="http://schemas.microsoft.com/office/drawing/2014/main" xmlns="" id="{00000000-0008-0000-0400-000022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32</xdr:row>
          <xdr:rowOff>85725</xdr:rowOff>
        </xdr:from>
        <xdr:to>
          <xdr:col>5</xdr:col>
          <xdr:colOff>771525</xdr:colOff>
          <xdr:row>33</xdr:row>
          <xdr:rowOff>0</xdr:rowOff>
        </xdr:to>
        <xdr:sp macro="" textlink="">
          <xdr:nvSpPr>
            <xdr:cNvPr id="2028579" name="Option Button 35" hidden="1">
              <a:extLst>
                <a:ext uri="{63B3BB69-23CF-44E3-9099-C40C66FF867C}">
                  <a14:compatExt spid="_x0000_s2028579"/>
                </a:ext>
                <a:ext uri="{FF2B5EF4-FFF2-40B4-BE49-F238E27FC236}">
                  <a16:creationId xmlns:a16="http://schemas.microsoft.com/office/drawing/2014/main" xmlns="" id="{00000000-0008-0000-0400-000023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466725</xdr:colOff>
          <xdr:row>32</xdr:row>
          <xdr:rowOff>85725</xdr:rowOff>
        </xdr:from>
        <xdr:to>
          <xdr:col>6</xdr:col>
          <xdr:colOff>752475</xdr:colOff>
          <xdr:row>33</xdr:row>
          <xdr:rowOff>0</xdr:rowOff>
        </xdr:to>
        <xdr:sp macro="" textlink="">
          <xdr:nvSpPr>
            <xdr:cNvPr id="2028580" name="Option Button 36" hidden="1">
              <a:extLst>
                <a:ext uri="{63B3BB69-23CF-44E3-9099-C40C66FF867C}">
                  <a14:compatExt spid="_x0000_s2028580"/>
                </a:ext>
                <a:ext uri="{FF2B5EF4-FFF2-40B4-BE49-F238E27FC236}">
                  <a16:creationId xmlns:a16="http://schemas.microsoft.com/office/drawing/2014/main" xmlns="" id="{00000000-0008-0000-0400-000024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38</xdr:row>
          <xdr:rowOff>0</xdr:rowOff>
        </xdr:from>
        <xdr:to>
          <xdr:col>7</xdr:col>
          <xdr:colOff>0</xdr:colOff>
          <xdr:row>39</xdr:row>
          <xdr:rowOff>0</xdr:rowOff>
        </xdr:to>
        <xdr:sp macro="" textlink="">
          <xdr:nvSpPr>
            <xdr:cNvPr id="2028581" name="Group Box 37" hidden="1">
              <a:extLst>
                <a:ext uri="{63B3BB69-23CF-44E3-9099-C40C66FF867C}">
                  <a14:compatExt spid="_x0000_s2028581"/>
                </a:ext>
                <a:ext uri="{FF2B5EF4-FFF2-40B4-BE49-F238E27FC236}">
                  <a16:creationId xmlns:a16="http://schemas.microsoft.com/office/drawing/2014/main" xmlns="" id="{00000000-0008-0000-0400-000025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44</xdr:row>
          <xdr:rowOff>0</xdr:rowOff>
        </xdr:from>
        <xdr:to>
          <xdr:col>7</xdr:col>
          <xdr:colOff>0</xdr:colOff>
          <xdr:row>45</xdr:row>
          <xdr:rowOff>0</xdr:rowOff>
        </xdr:to>
        <xdr:sp macro="" textlink="">
          <xdr:nvSpPr>
            <xdr:cNvPr id="2028582" name="Group Box 38" hidden="1">
              <a:extLst>
                <a:ext uri="{63B3BB69-23CF-44E3-9099-C40C66FF867C}">
                  <a14:compatExt spid="_x0000_s2028582"/>
                </a:ext>
                <a:ext uri="{FF2B5EF4-FFF2-40B4-BE49-F238E27FC236}">
                  <a16:creationId xmlns:a16="http://schemas.microsoft.com/office/drawing/2014/main" xmlns="" id="{00000000-0008-0000-0400-000026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46</xdr:row>
          <xdr:rowOff>0</xdr:rowOff>
        </xdr:from>
        <xdr:to>
          <xdr:col>7</xdr:col>
          <xdr:colOff>0</xdr:colOff>
          <xdr:row>47</xdr:row>
          <xdr:rowOff>0</xdr:rowOff>
        </xdr:to>
        <xdr:sp macro="" textlink="">
          <xdr:nvSpPr>
            <xdr:cNvPr id="2028583" name="Group Box 39" hidden="1">
              <a:extLst>
                <a:ext uri="{63B3BB69-23CF-44E3-9099-C40C66FF867C}">
                  <a14:compatExt spid="_x0000_s2028583"/>
                </a:ext>
                <a:ext uri="{FF2B5EF4-FFF2-40B4-BE49-F238E27FC236}">
                  <a16:creationId xmlns:a16="http://schemas.microsoft.com/office/drawing/2014/main" xmlns="" id="{00000000-0008-0000-0400-000027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48</xdr:row>
          <xdr:rowOff>0</xdr:rowOff>
        </xdr:from>
        <xdr:to>
          <xdr:col>7</xdr:col>
          <xdr:colOff>0</xdr:colOff>
          <xdr:row>49</xdr:row>
          <xdr:rowOff>0</xdr:rowOff>
        </xdr:to>
        <xdr:sp macro="" textlink="">
          <xdr:nvSpPr>
            <xdr:cNvPr id="2028584" name="Group Box 40" hidden="1">
              <a:extLst>
                <a:ext uri="{63B3BB69-23CF-44E3-9099-C40C66FF867C}">
                  <a14:compatExt spid="_x0000_s2028584"/>
                </a:ext>
                <a:ext uri="{FF2B5EF4-FFF2-40B4-BE49-F238E27FC236}">
                  <a16:creationId xmlns:a16="http://schemas.microsoft.com/office/drawing/2014/main" xmlns="" id="{00000000-0008-0000-0400-000028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50</xdr:row>
          <xdr:rowOff>0</xdr:rowOff>
        </xdr:from>
        <xdr:to>
          <xdr:col>7</xdr:col>
          <xdr:colOff>0</xdr:colOff>
          <xdr:row>51</xdr:row>
          <xdr:rowOff>0</xdr:rowOff>
        </xdr:to>
        <xdr:sp macro="" textlink="">
          <xdr:nvSpPr>
            <xdr:cNvPr id="2028585" name="Group Box 41" hidden="1">
              <a:extLst>
                <a:ext uri="{63B3BB69-23CF-44E3-9099-C40C66FF867C}">
                  <a14:compatExt spid="_x0000_s2028585"/>
                </a:ext>
                <a:ext uri="{FF2B5EF4-FFF2-40B4-BE49-F238E27FC236}">
                  <a16:creationId xmlns:a16="http://schemas.microsoft.com/office/drawing/2014/main" xmlns="" id="{00000000-0008-0000-0400-000029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52</xdr:row>
          <xdr:rowOff>0</xdr:rowOff>
        </xdr:from>
        <xdr:to>
          <xdr:col>7</xdr:col>
          <xdr:colOff>0</xdr:colOff>
          <xdr:row>53</xdr:row>
          <xdr:rowOff>0</xdr:rowOff>
        </xdr:to>
        <xdr:sp macro="" textlink="">
          <xdr:nvSpPr>
            <xdr:cNvPr id="2028586" name="Group Box 42" hidden="1">
              <a:extLst>
                <a:ext uri="{63B3BB69-23CF-44E3-9099-C40C66FF867C}">
                  <a14:compatExt spid="_x0000_s2028586"/>
                </a:ext>
                <a:ext uri="{FF2B5EF4-FFF2-40B4-BE49-F238E27FC236}">
                  <a16:creationId xmlns:a16="http://schemas.microsoft.com/office/drawing/2014/main" xmlns="" id="{00000000-0008-0000-0400-00002A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54</xdr:row>
          <xdr:rowOff>0</xdr:rowOff>
        </xdr:from>
        <xdr:to>
          <xdr:col>7</xdr:col>
          <xdr:colOff>0</xdr:colOff>
          <xdr:row>55</xdr:row>
          <xdr:rowOff>0</xdr:rowOff>
        </xdr:to>
        <xdr:sp macro="" textlink="">
          <xdr:nvSpPr>
            <xdr:cNvPr id="2028587" name="Group Box 43" hidden="1">
              <a:extLst>
                <a:ext uri="{63B3BB69-23CF-44E3-9099-C40C66FF867C}">
                  <a14:compatExt spid="_x0000_s2028587"/>
                </a:ext>
                <a:ext uri="{FF2B5EF4-FFF2-40B4-BE49-F238E27FC236}">
                  <a16:creationId xmlns:a16="http://schemas.microsoft.com/office/drawing/2014/main" xmlns="" id="{00000000-0008-0000-0400-00002B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56</xdr:row>
          <xdr:rowOff>0</xdr:rowOff>
        </xdr:from>
        <xdr:to>
          <xdr:col>7</xdr:col>
          <xdr:colOff>0</xdr:colOff>
          <xdr:row>57</xdr:row>
          <xdr:rowOff>0</xdr:rowOff>
        </xdr:to>
        <xdr:sp macro="" textlink="">
          <xdr:nvSpPr>
            <xdr:cNvPr id="2028588" name="Group Box 44" hidden="1">
              <a:extLst>
                <a:ext uri="{63B3BB69-23CF-44E3-9099-C40C66FF867C}">
                  <a14:compatExt spid="_x0000_s2028588"/>
                </a:ext>
                <a:ext uri="{FF2B5EF4-FFF2-40B4-BE49-F238E27FC236}">
                  <a16:creationId xmlns:a16="http://schemas.microsoft.com/office/drawing/2014/main" xmlns="" id="{00000000-0008-0000-0400-00002C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58</xdr:row>
          <xdr:rowOff>0</xdr:rowOff>
        </xdr:from>
        <xdr:to>
          <xdr:col>7</xdr:col>
          <xdr:colOff>0</xdr:colOff>
          <xdr:row>59</xdr:row>
          <xdr:rowOff>0</xdr:rowOff>
        </xdr:to>
        <xdr:sp macro="" textlink="">
          <xdr:nvSpPr>
            <xdr:cNvPr id="2028589" name="Group Box 45" hidden="1">
              <a:extLst>
                <a:ext uri="{63B3BB69-23CF-44E3-9099-C40C66FF867C}">
                  <a14:compatExt spid="_x0000_s2028589"/>
                </a:ext>
                <a:ext uri="{FF2B5EF4-FFF2-40B4-BE49-F238E27FC236}">
                  <a16:creationId xmlns:a16="http://schemas.microsoft.com/office/drawing/2014/main" xmlns="" id="{00000000-0008-0000-0400-00002D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60</xdr:row>
          <xdr:rowOff>0</xdr:rowOff>
        </xdr:from>
        <xdr:to>
          <xdr:col>7</xdr:col>
          <xdr:colOff>0</xdr:colOff>
          <xdr:row>61</xdr:row>
          <xdr:rowOff>0</xdr:rowOff>
        </xdr:to>
        <xdr:sp macro="" textlink="">
          <xdr:nvSpPr>
            <xdr:cNvPr id="2028590" name="Group Box 46" hidden="1">
              <a:extLst>
                <a:ext uri="{63B3BB69-23CF-44E3-9099-C40C66FF867C}">
                  <a14:compatExt spid="_x0000_s2028590"/>
                </a:ext>
                <a:ext uri="{FF2B5EF4-FFF2-40B4-BE49-F238E27FC236}">
                  <a16:creationId xmlns:a16="http://schemas.microsoft.com/office/drawing/2014/main" xmlns="" id="{00000000-0008-0000-0400-00002E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1190625</xdr:colOff>
          <xdr:row>62</xdr:row>
          <xdr:rowOff>0</xdr:rowOff>
        </xdr:from>
        <xdr:to>
          <xdr:col>7</xdr:col>
          <xdr:colOff>0</xdr:colOff>
          <xdr:row>63</xdr:row>
          <xdr:rowOff>0</xdr:rowOff>
        </xdr:to>
        <xdr:sp macro="" textlink="">
          <xdr:nvSpPr>
            <xdr:cNvPr id="2028591" name="Group Box 47" hidden="1">
              <a:extLst>
                <a:ext uri="{63B3BB69-23CF-44E3-9099-C40C66FF867C}">
                  <a14:compatExt spid="_x0000_s2028591"/>
                </a:ext>
                <a:ext uri="{FF2B5EF4-FFF2-40B4-BE49-F238E27FC236}">
                  <a16:creationId xmlns:a16="http://schemas.microsoft.com/office/drawing/2014/main" xmlns="" id="{00000000-0008-0000-0400-00002F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64</xdr:row>
          <xdr:rowOff>0</xdr:rowOff>
        </xdr:from>
        <xdr:to>
          <xdr:col>7</xdr:col>
          <xdr:colOff>0</xdr:colOff>
          <xdr:row>65</xdr:row>
          <xdr:rowOff>0</xdr:rowOff>
        </xdr:to>
        <xdr:sp macro="" textlink="">
          <xdr:nvSpPr>
            <xdr:cNvPr id="2028592" name="Group Box 48" hidden="1">
              <a:extLst>
                <a:ext uri="{63B3BB69-23CF-44E3-9099-C40C66FF867C}">
                  <a14:compatExt spid="_x0000_s2028592"/>
                </a:ext>
                <a:ext uri="{FF2B5EF4-FFF2-40B4-BE49-F238E27FC236}">
                  <a16:creationId xmlns:a16="http://schemas.microsoft.com/office/drawing/2014/main" xmlns="" id="{00000000-0008-0000-0400-000030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70</xdr:row>
          <xdr:rowOff>0</xdr:rowOff>
        </xdr:from>
        <xdr:to>
          <xdr:col>7</xdr:col>
          <xdr:colOff>0</xdr:colOff>
          <xdr:row>71</xdr:row>
          <xdr:rowOff>0</xdr:rowOff>
        </xdr:to>
        <xdr:sp macro="" textlink="">
          <xdr:nvSpPr>
            <xdr:cNvPr id="2028593" name="Group Box 49" hidden="1">
              <a:extLst>
                <a:ext uri="{63B3BB69-23CF-44E3-9099-C40C66FF867C}">
                  <a14:compatExt spid="_x0000_s2028593"/>
                </a:ext>
                <a:ext uri="{FF2B5EF4-FFF2-40B4-BE49-F238E27FC236}">
                  <a16:creationId xmlns:a16="http://schemas.microsoft.com/office/drawing/2014/main" xmlns="" id="{00000000-0008-0000-0400-000031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76</xdr:row>
          <xdr:rowOff>0</xdr:rowOff>
        </xdr:from>
        <xdr:to>
          <xdr:col>7</xdr:col>
          <xdr:colOff>0</xdr:colOff>
          <xdr:row>77</xdr:row>
          <xdr:rowOff>0</xdr:rowOff>
        </xdr:to>
        <xdr:sp macro="" textlink="">
          <xdr:nvSpPr>
            <xdr:cNvPr id="2028594" name="Group Box 50" hidden="1">
              <a:extLst>
                <a:ext uri="{63B3BB69-23CF-44E3-9099-C40C66FF867C}">
                  <a14:compatExt spid="_x0000_s2028594"/>
                </a:ext>
                <a:ext uri="{FF2B5EF4-FFF2-40B4-BE49-F238E27FC236}">
                  <a16:creationId xmlns:a16="http://schemas.microsoft.com/office/drawing/2014/main" xmlns="" id="{00000000-0008-0000-0400-000032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78</xdr:row>
          <xdr:rowOff>0</xdr:rowOff>
        </xdr:from>
        <xdr:to>
          <xdr:col>7</xdr:col>
          <xdr:colOff>0</xdr:colOff>
          <xdr:row>79</xdr:row>
          <xdr:rowOff>0</xdr:rowOff>
        </xdr:to>
        <xdr:sp macro="" textlink="">
          <xdr:nvSpPr>
            <xdr:cNvPr id="2028595" name="Group Box 51" hidden="1">
              <a:extLst>
                <a:ext uri="{63B3BB69-23CF-44E3-9099-C40C66FF867C}">
                  <a14:compatExt spid="_x0000_s2028595"/>
                </a:ext>
                <a:ext uri="{FF2B5EF4-FFF2-40B4-BE49-F238E27FC236}">
                  <a16:creationId xmlns:a16="http://schemas.microsoft.com/office/drawing/2014/main" xmlns="" id="{00000000-0008-0000-0400-000033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80</xdr:row>
          <xdr:rowOff>0</xdr:rowOff>
        </xdr:from>
        <xdr:to>
          <xdr:col>7</xdr:col>
          <xdr:colOff>0</xdr:colOff>
          <xdr:row>81</xdr:row>
          <xdr:rowOff>0</xdr:rowOff>
        </xdr:to>
        <xdr:sp macro="" textlink="">
          <xdr:nvSpPr>
            <xdr:cNvPr id="2028596" name="Group Box 52" hidden="1">
              <a:extLst>
                <a:ext uri="{63B3BB69-23CF-44E3-9099-C40C66FF867C}">
                  <a14:compatExt spid="_x0000_s2028596"/>
                </a:ext>
                <a:ext uri="{FF2B5EF4-FFF2-40B4-BE49-F238E27FC236}">
                  <a16:creationId xmlns:a16="http://schemas.microsoft.com/office/drawing/2014/main" xmlns="" id="{00000000-0008-0000-0400-000034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82</xdr:row>
          <xdr:rowOff>0</xdr:rowOff>
        </xdr:from>
        <xdr:to>
          <xdr:col>7</xdr:col>
          <xdr:colOff>0</xdr:colOff>
          <xdr:row>83</xdr:row>
          <xdr:rowOff>0</xdr:rowOff>
        </xdr:to>
        <xdr:sp macro="" textlink="">
          <xdr:nvSpPr>
            <xdr:cNvPr id="2028597" name="Group Box 53" hidden="1">
              <a:extLst>
                <a:ext uri="{63B3BB69-23CF-44E3-9099-C40C66FF867C}">
                  <a14:compatExt spid="_x0000_s2028597"/>
                </a:ext>
                <a:ext uri="{FF2B5EF4-FFF2-40B4-BE49-F238E27FC236}">
                  <a16:creationId xmlns:a16="http://schemas.microsoft.com/office/drawing/2014/main" xmlns="" id="{00000000-0008-0000-0400-000035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84</xdr:row>
          <xdr:rowOff>0</xdr:rowOff>
        </xdr:from>
        <xdr:to>
          <xdr:col>7</xdr:col>
          <xdr:colOff>0</xdr:colOff>
          <xdr:row>85</xdr:row>
          <xdr:rowOff>0</xdr:rowOff>
        </xdr:to>
        <xdr:sp macro="" textlink="">
          <xdr:nvSpPr>
            <xdr:cNvPr id="2028598" name="Group Box 54" hidden="1">
              <a:extLst>
                <a:ext uri="{63B3BB69-23CF-44E3-9099-C40C66FF867C}">
                  <a14:compatExt spid="_x0000_s2028598"/>
                </a:ext>
                <a:ext uri="{FF2B5EF4-FFF2-40B4-BE49-F238E27FC236}">
                  <a16:creationId xmlns:a16="http://schemas.microsoft.com/office/drawing/2014/main" xmlns="" id="{00000000-0008-0000-0400-000036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86</xdr:row>
          <xdr:rowOff>0</xdr:rowOff>
        </xdr:from>
        <xdr:to>
          <xdr:col>7</xdr:col>
          <xdr:colOff>0</xdr:colOff>
          <xdr:row>87</xdr:row>
          <xdr:rowOff>0</xdr:rowOff>
        </xdr:to>
        <xdr:sp macro="" textlink="">
          <xdr:nvSpPr>
            <xdr:cNvPr id="2028599" name="Group Box 55" hidden="1">
              <a:extLst>
                <a:ext uri="{63B3BB69-23CF-44E3-9099-C40C66FF867C}">
                  <a14:compatExt spid="_x0000_s2028599"/>
                </a:ext>
                <a:ext uri="{FF2B5EF4-FFF2-40B4-BE49-F238E27FC236}">
                  <a16:creationId xmlns:a16="http://schemas.microsoft.com/office/drawing/2014/main" xmlns="" id="{00000000-0008-0000-0400-000037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88</xdr:row>
          <xdr:rowOff>0</xdr:rowOff>
        </xdr:from>
        <xdr:to>
          <xdr:col>7</xdr:col>
          <xdr:colOff>0</xdr:colOff>
          <xdr:row>89</xdr:row>
          <xdr:rowOff>0</xdr:rowOff>
        </xdr:to>
        <xdr:sp macro="" textlink="">
          <xdr:nvSpPr>
            <xdr:cNvPr id="2028600" name="Group Box 56" hidden="1">
              <a:extLst>
                <a:ext uri="{63B3BB69-23CF-44E3-9099-C40C66FF867C}">
                  <a14:compatExt spid="_x0000_s2028600"/>
                </a:ext>
                <a:ext uri="{FF2B5EF4-FFF2-40B4-BE49-F238E27FC236}">
                  <a16:creationId xmlns:a16="http://schemas.microsoft.com/office/drawing/2014/main" xmlns="" id="{00000000-0008-0000-0400-000038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90</xdr:row>
          <xdr:rowOff>0</xdr:rowOff>
        </xdr:from>
        <xdr:to>
          <xdr:col>7</xdr:col>
          <xdr:colOff>0</xdr:colOff>
          <xdr:row>91</xdr:row>
          <xdr:rowOff>0</xdr:rowOff>
        </xdr:to>
        <xdr:sp macro="" textlink="">
          <xdr:nvSpPr>
            <xdr:cNvPr id="2028601" name="Group Box 57" hidden="1">
              <a:extLst>
                <a:ext uri="{63B3BB69-23CF-44E3-9099-C40C66FF867C}">
                  <a14:compatExt spid="_x0000_s2028601"/>
                </a:ext>
                <a:ext uri="{FF2B5EF4-FFF2-40B4-BE49-F238E27FC236}">
                  <a16:creationId xmlns:a16="http://schemas.microsoft.com/office/drawing/2014/main" xmlns="" id="{00000000-0008-0000-0400-000039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92</xdr:row>
          <xdr:rowOff>0</xdr:rowOff>
        </xdr:from>
        <xdr:to>
          <xdr:col>7</xdr:col>
          <xdr:colOff>0</xdr:colOff>
          <xdr:row>93</xdr:row>
          <xdr:rowOff>0</xdr:rowOff>
        </xdr:to>
        <xdr:sp macro="" textlink="">
          <xdr:nvSpPr>
            <xdr:cNvPr id="2028602" name="Group Box 58" hidden="1">
              <a:extLst>
                <a:ext uri="{63B3BB69-23CF-44E3-9099-C40C66FF867C}">
                  <a14:compatExt spid="_x0000_s2028602"/>
                </a:ext>
                <a:ext uri="{FF2B5EF4-FFF2-40B4-BE49-F238E27FC236}">
                  <a16:creationId xmlns:a16="http://schemas.microsoft.com/office/drawing/2014/main" xmlns="" id="{00000000-0008-0000-0400-00003A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1190625</xdr:colOff>
          <xdr:row>94</xdr:row>
          <xdr:rowOff>0</xdr:rowOff>
        </xdr:from>
        <xdr:to>
          <xdr:col>7</xdr:col>
          <xdr:colOff>0</xdr:colOff>
          <xdr:row>95</xdr:row>
          <xdr:rowOff>0</xdr:rowOff>
        </xdr:to>
        <xdr:sp macro="" textlink="">
          <xdr:nvSpPr>
            <xdr:cNvPr id="2028603" name="Group Box 59" hidden="1">
              <a:extLst>
                <a:ext uri="{63B3BB69-23CF-44E3-9099-C40C66FF867C}">
                  <a14:compatExt spid="_x0000_s2028603"/>
                </a:ext>
                <a:ext uri="{FF2B5EF4-FFF2-40B4-BE49-F238E27FC236}">
                  <a16:creationId xmlns:a16="http://schemas.microsoft.com/office/drawing/2014/main" xmlns="" id="{00000000-0008-0000-0400-00003B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96</xdr:row>
          <xdr:rowOff>0</xdr:rowOff>
        </xdr:from>
        <xdr:to>
          <xdr:col>7</xdr:col>
          <xdr:colOff>0</xdr:colOff>
          <xdr:row>97</xdr:row>
          <xdr:rowOff>0</xdr:rowOff>
        </xdr:to>
        <xdr:sp macro="" textlink="">
          <xdr:nvSpPr>
            <xdr:cNvPr id="2028604" name="Group Box 60" hidden="1">
              <a:extLst>
                <a:ext uri="{63B3BB69-23CF-44E3-9099-C40C66FF867C}">
                  <a14:compatExt spid="_x0000_s2028604"/>
                </a:ext>
                <a:ext uri="{FF2B5EF4-FFF2-40B4-BE49-F238E27FC236}">
                  <a16:creationId xmlns:a16="http://schemas.microsoft.com/office/drawing/2014/main" xmlns="" id="{00000000-0008-0000-0400-00003C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102</xdr:row>
          <xdr:rowOff>0</xdr:rowOff>
        </xdr:from>
        <xdr:to>
          <xdr:col>7</xdr:col>
          <xdr:colOff>0</xdr:colOff>
          <xdr:row>103</xdr:row>
          <xdr:rowOff>0</xdr:rowOff>
        </xdr:to>
        <xdr:sp macro="" textlink="">
          <xdr:nvSpPr>
            <xdr:cNvPr id="2028605" name="Group Box 61" hidden="1">
              <a:extLst>
                <a:ext uri="{63B3BB69-23CF-44E3-9099-C40C66FF867C}">
                  <a14:compatExt spid="_x0000_s2028605"/>
                </a:ext>
                <a:ext uri="{FF2B5EF4-FFF2-40B4-BE49-F238E27FC236}">
                  <a16:creationId xmlns:a16="http://schemas.microsoft.com/office/drawing/2014/main" xmlns="" id="{00000000-0008-0000-0400-00003D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108</xdr:row>
          <xdr:rowOff>0</xdr:rowOff>
        </xdr:from>
        <xdr:to>
          <xdr:col>7</xdr:col>
          <xdr:colOff>0</xdr:colOff>
          <xdr:row>109</xdr:row>
          <xdr:rowOff>0</xdr:rowOff>
        </xdr:to>
        <xdr:sp macro="" textlink="">
          <xdr:nvSpPr>
            <xdr:cNvPr id="2028606" name="Group Box 62" hidden="1">
              <a:extLst>
                <a:ext uri="{63B3BB69-23CF-44E3-9099-C40C66FF867C}">
                  <a14:compatExt spid="_x0000_s2028606"/>
                </a:ext>
                <a:ext uri="{FF2B5EF4-FFF2-40B4-BE49-F238E27FC236}">
                  <a16:creationId xmlns:a16="http://schemas.microsoft.com/office/drawing/2014/main" xmlns="" id="{00000000-0008-0000-0400-00003E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110</xdr:row>
          <xdr:rowOff>0</xdr:rowOff>
        </xdr:from>
        <xdr:to>
          <xdr:col>7</xdr:col>
          <xdr:colOff>0</xdr:colOff>
          <xdr:row>111</xdr:row>
          <xdr:rowOff>0</xdr:rowOff>
        </xdr:to>
        <xdr:sp macro="" textlink="">
          <xdr:nvSpPr>
            <xdr:cNvPr id="2028607" name="Group Box 63" hidden="1">
              <a:extLst>
                <a:ext uri="{63B3BB69-23CF-44E3-9099-C40C66FF867C}">
                  <a14:compatExt spid="_x0000_s2028607"/>
                </a:ext>
                <a:ext uri="{FF2B5EF4-FFF2-40B4-BE49-F238E27FC236}">
                  <a16:creationId xmlns:a16="http://schemas.microsoft.com/office/drawing/2014/main" xmlns="" id="{00000000-0008-0000-0400-00003F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112</xdr:row>
          <xdr:rowOff>0</xdr:rowOff>
        </xdr:from>
        <xdr:to>
          <xdr:col>7</xdr:col>
          <xdr:colOff>0</xdr:colOff>
          <xdr:row>113</xdr:row>
          <xdr:rowOff>0</xdr:rowOff>
        </xdr:to>
        <xdr:sp macro="" textlink="">
          <xdr:nvSpPr>
            <xdr:cNvPr id="2028608" name="Group Box 64" hidden="1">
              <a:extLst>
                <a:ext uri="{63B3BB69-23CF-44E3-9099-C40C66FF867C}">
                  <a14:compatExt spid="_x0000_s2028608"/>
                </a:ext>
                <a:ext uri="{FF2B5EF4-FFF2-40B4-BE49-F238E27FC236}">
                  <a16:creationId xmlns:a16="http://schemas.microsoft.com/office/drawing/2014/main" xmlns="" id="{00000000-0008-0000-0400-000040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114</xdr:row>
          <xdr:rowOff>0</xdr:rowOff>
        </xdr:from>
        <xdr:to>
          <xdr:col>7</xdr:col>
          <xdr:colOff>0</xdr:colOff>
          <xdr:row>115</xdr:row>
          <xdr:rowOff>0</xdr:rowOff>
        </xdr:to>
        <xdr:sp macro="" textlink="">
          <xdr:nvSpPr>
            <xdr:cNvPr id="2028609" name="Group Box 65" hidden="1">
              <a:extLst>
                <a:ext uri="{63B3BB69-23CF-44E3-9099-C40C66FF867C}">
                  <a14:compatExt spid="_x0000_s2028609"/>
                </a:ext>
                <a:ext uri="{FF2B5EF4-FFF2-40B4-BE49-F238E27FC236}">
                  <a16:creationId xmlns:a16="http://schemas.microsoft.com/office/drawing/2014/main" xmlns="" id="{00000000-0008-0000-0400-000041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7</xdr:col>
          <xdr:colOff>0</xdr:colOff>
          <xdr:row>117</xdr:row>
          <xdr:rowOff>0</xdr:rowOff>
        </xdr:to>
        <xdr:sp macro="" textlink="">
          <xdr:nvSpPr>
            <xdr:cNvPr id="2028610" name="Group Box 66" hidden="1">
              <a:extLst>
                <a:ext uri="{63B3BB69-23CF-44E3-9099-C40C66FF867C}">
                  <a14:compatExt spid="_x0000_s2028610"/>
                </a:ext>
                <a:ext uri="{FF2B5EF4-FFF2-40B4-BE49-F238E27FC236}">
                  <a16:creationId xmlns:a16="http://schemas.microsoft.com/office/drawing/2014/main" xmlns="" id="{00000000-0008-0000-0400-000042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7</xdr:col>
          <xdr:colOff>0</xdr:colOff>
          <xdr:row>119</xdr:row>
          <xdr:rowOff>0</xdr:rowOff>
        </xdr:to>
        <xdr:sp macro="" textlink="">
          <xdr:nvSpPr>
            <xdr:cNvPr id="2028611" name="Group Box 67" hidden="1">
              <a:extLst>
                <a:ext uri="{63B3BB69-23CF-44E3-9099-C40C66FF867C}">
                  <a14:compatExt spid="_x0000_s2028611"/>
                </a:ext>
                <a:ext uri="{FF2B5EF4-FFF2-40B4-BE49-F238E27FC236}">
                  <a16:creationId xmlns:a16="http://schemas.microsoft.com/office/drawing/2014/main" xmlns="" id="{00000000-0008-0000-0400-000043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120</xdr:row>
          <xdr:rowOff>0</xdr:rowOff>
        </xdr:from>
        <xdr:to>
          <xdr:col>7</xdr:col>
          <xdr:colOff>0</xdr:colOff>
          <xdr:row>121</xdr:row>
          <xdr:rowOff>0</xdr:rowOff>
        </xdr:to>
        <xdr:sp macro="" textlink="">
          <xdr:nvSpPr>
            <xdr:cNvPr id="2028612" name="Group Box 68" hidden="1">
              <a:extLst>
                <a:ext uri="{63B3BB69-23CF-44E3-9099-C40C66FF867C}">
                  <a14:compatExt spid="_x0000_s2028612"/>
                </a:ext>
                <a:ext uri="{FF2B5EF4-FFF2-40B4-BE49-F238E27FC236}">
                  <a16:creationId xmlns:a16="http://schemas.microsoft.com/office/drawing/2014/main" xmlns="" id="{00000000-0008-0000-0400-000044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122</xdr:row>
          <xdr:rowOff>0</xdr:rowOff>
        </xdr:from>
        <xdr:to>
          <xdr:col>7</xdr:col>
          <xdr:colOff>0</xdr:colOff>
          <xdr:row>123</xdr:row>
          <xdr:rowOff>0</xdr:rowOff>
        </xdr:to>
        <xdr:sp macro="" textlink="">
          <xdr:nvSpPr>
            <xdr:cNvPr id="2028613" name="Group Box 69" hidden="1">
              <a:extLst>
                <a:ext uri="{63B3BB69-23CF-44E3-9099-C40C66FF867C}">
                  <a14:compatExt spid="_x0000_s2028613"/>
                </a:ext>
                <a:ext uri="{FF2B5EF4-FFF2-40B4-BE49-F238E27FC236}">
                  <a16:creationId xmlns:a16="http://schemas.microsoft.com/office/drawing/2014/main" xmlns="" id="{00000000-0008-0000-0400-000045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7</xdr:col>
          <xdr:colOff>0</xdr:colOff>
          <xdr:row>125</xdr:row>
          <xdr:rowOff>0</xdr:rowOff>
        </xdr:to>
        <xdr:sp macro="" textlink="">
          <xdr:nvSpPr>
            <xdr:cNvPr id="2028614" name="Group Box 70" hidden="1">
              <a:extLst>
                <a:ext uri="{63B3BB69-23CF-44E3-9099-C40C66FF867C}">
                  <a14:compatExt spid="_x0000_s2028614"/>
                </a:ext>
                <a:ext uri="{FF2B5EF4-FFF2-40B4-BE49-F238E27FC236}">
                  <a16:creationId xmlns:a16="http://schemas.microsoft.com/office/drawing/2014/main" xmlns="" id="{00000000-0008-0000-0400-000046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1190625</xdr:colOff>
          <xdr:row>126</xdr:row>
          <xdr:rowOff>0</xdr:rowOff>
        </xdr:from>
        <xdr:to>
          <xdr:col>7</xdr:col>
          <xdr:colOff>0</xdr:colOff>
          <xdr:row>127</xdr:row>
          <xdr:rowOff>0</xdr:rowOff>
        </xdr:to>
        <xdr:sp macro="" textlink="">
          <xdr:nvSpPr>
            <xdr:cNvPr id="2028615" name="Group Box 71" hidden="1">
              <a:extLst>
                <a:ext uri="{63B3BB69-23CF-44E3-9099-C40C66FF867C}">
                  <a14:compatExt spid="_x0000_s2028615"/>
                </a:ext>
                <a:ext uri="{FF2B5EF4-FFF2-40B4-BE49-F238E27FC236}">
                  <a16:creationId xmlns:a16="http://schemas.microsoft.com/office/drawing/2014/main" xmlns="" id="{00000000-0008-0000-0400-000047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128</xdr:row>
          <xdr:rowOff>0</xdr:rowOff>
        </xdr:from>
        <xdr:to>
          <xdr:col>7</xdr:col>
          <xdr:colOff>0</xdr:colOff>
          <xdr:row>129</xdr:row>
          <xdr:rowOff>0</xdr:rowOff>
        </xdr:to>
        <xdr:sp macro="" textlink="">
          <xdr:nvSpPr>
            <xdr:cNvPr id="2028616" name="Group Box 72" hidden="1">
              <a:extLst>
                <a:ext uri="{63B3BB69-23CF-44E3-9099-C40C66FF867C}">
                  <a14:compatExt spid="_x0000_s2028616"/>
                </a:ext>
                <a:ext uri="{FF2B5EF4-FFF2-40B4-BE49-F238E27FC236}">
                  <a16:creationId xmlns:a16="http://schemas.microsoft.com/office/drawing/2014/main" xmlns="" id="{00000000-0008-0000-0400-000048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134</xdr:row>
          <xdr:rowOff>0</xdr:rowOff>
        </xdr:from>
        <xdr:to>
          <xdr:col>7</xdr:col>
          <xdr:colOff>0</xdr:colOff>
          <xdr:row>135</xdr:row>
          <xdr:rowOff>0</xdr:rowOff>
        </xdr:to>
        <xdr:sp macro="" textlink="">
          <xdr:nvSpPr>
            <xdr:cNvPr id="2028617" name="Group Box 73" hidden="1">
              <a:extLst>
                <a:ext uri="{63B3BB69-23CF-44E3-9099-C40C66FF867C}">
                  <a14:compatExt spid="_x0000_s2028617"/>
                </a:ext>
                <a:ext uri="{FF2B5EF4-FFF2-40B4-BE49-F238E27FC236}">
                  <a16:creationId xmlns:a16="http://schemas.microsoft.com/office/drawing/2014/main" xmlns="" id="{00000000-0008-0000-0400-000049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140</xdr:row>
          <xdr:rowOff>0</xdr:rowOff>
        </xdr:from>
        <xdr:to>
          <xdr:col>7</xdr:col>
          <xdr:colOff>0</xdr:colOff>
          <xdr:row>141</xdr:row>
          <xdr:rowOff>0</xdr:rowOff>
        </xdr:to>
        <xdr:sp macro="" textlink="">
          <xdr:nvSpPr>
            <xdr:cNvPr id="2028618" name="Group Box 74" hidden="1">
              <a:extLst>
                <a:ext uri="{63B3BB69-23CF-44E3-9099-C40C66FF867C}">
                  <a14:compatExt spid="_x0000_s2028618"/>
                </a:ext>
                <a:ext uri="{FF2B5EF4-FFF2-40B4-BE49-F238E27FC236}">
                  <a16:creationId xmlns:a16="http://schemas.microsoft.com/office/drawing/2014/main" xmlns="" id="{00000000-0008-0000-0400-00004A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142</xdr:row>
          <xdr:rowOff>0</xdr:rowOff>
        </xdr:from>
        <xdr:to>
          <xdr:col>7</xdr:col>
          <xdr:colOff>0</xdr:colOff>
          <xdr:row>143</xdr:row>
          <xdr:rowOff>0</xdr:rowOff>
        </xdr:to>
        <xdr:sp macro="" textlink="">
          <xdr:nvSpPr>
            <xdr:cNvPr id="2028619" name="Group Box 75" hidden="1">
              <a:extLst>
                <a:ext uri="{63B3BB69-23CF-44E3-9099-C40C66FF867C}">
                  <a14:compatExt spid="_x0000_s2028619"/>
                </a:ext>
                <a:ext uri="{FF2B5EF4-FFF2-40B4-BE49-F238E27FC236}">
                  <a16:creationId xmlns:a16="http://schemas.microsoft.com/office/drawing/2014/main" xmlns="" id="{00000000-0008-0000-0400-00004B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144</xdr:row>
          <xdr:rowOff>0</xdr:rowOff>
        </xdr:from>
        <xdr:to>
          <xdr:col>7</xdr:col>
          <xdr:colOff>0</xdr:colOff>
          <xdr:row>145</xdr:row>
          <xdr:rowOff>0</xdr:rowOff>
        </xdr:to>
        <xdr:sp macro="" textlink="">
          <xdr:nvSpPr>
            <xdr:cNvPr id="2028620" name="Group Box 76" hidden="1">
              <a:extLst>
                <a:ext uri="{63B3BB69-23CF-44E3-9099-C40C66FF867C}">
                  <a14:compatExt spid="_x0000_s2028620"/>
                </a:ext>
                <a:ext uri="{FF2B5EF4-FFF2-40B4-BE49-F238E27FC236}">
                  <a16:creationId xmlns:a16="http://schemas.microsoft.com/office/drawing/2014/main" xmlns="" id="{00000000-0008-0000-0400-00004C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146</xdr:row>
          <xdr:rowOff>0</xdr:rowOff>
        </xdr:from>
        <xdr:to>
          <xdr:col>7</xdr:col>
          <xdr:colOff>0</xdr:colOff>
          <xdr:row>147</xdr:row>
          <xdr:rowOff>0</xdr:rowOff>
        </xdr:to>
        <xdr:sp macro="" textlink="">
          <xdr:nvSpPr>
            <xdr:cNvPr id="2028621" name="Group Box 77" hidden="1">
              <a:extLst>
                <a:ext uri="{63B3BB69-23CF-44E3-9099-C40C66FF867C}">
                  <a14:compatExt spid="_x0000_s2028621"/>
                </a:ext>
                <a:ext uri="{FF2B5EF4-FFF2-40B4-BE49-F238E27FC236}">
                  <a16:creationId xmlns:a16="http://schemas.microsoft.com/office/drawing/2014/main" xmlns="" id="{00000000-0008-0000-0400-00004D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148</xdr:row>
          <xdr:rowOff>0</xdr:rowOff>
        </xdr:from>
        <xdr:to>
          <xdr:col>7</xdr:col>
          <xdr:colOff>0</xdr:colOff>
          <xdr:row>149</xdr:row>
          <xdr:rowOff>0</xdr:rowOff>
        </xdr:to>
        <xdr:sp macro="" textlink="">
          <xdr:nvSpPr>
            <xdr:cNvPr id="2028622" name="Group Box 78" hidden="1">
              <a:extLst>
                <a:ext uri="{63B3BB69-23CF-44E3-9099-C40C66FF867C}">
                  <a14:compatExt spid="_x0000_s2028622"/>
                </a:ext>
                <a:ext uri="{FF2B5EF4-FFF2-40B4-BE49-F238E27FC236}">
                  <a16:creationId xmlns:a16="http://schemas.microsoft.com/office/drawing/2014/main" xmlns="" id="{00000000-0008-0000-0400-00004E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150</xdr:row>
          <xdr:rowOff>0</xdr:rowOff>
        </xdr:from>
        <xdr:to>
          <xdr:col>7</xdr:col>
          <xdr:colOff>0</xdr:colOff>
          <xdr:row>151</xdr:row>
          <xdr:rowOff>0</xdr:rowOff>
        </xdr:to>
        <xdr:sp macro="" textlink="">
          <xdr:nvSpPr>
            <xdr:cNvPr id="2028623" name="Group Box 79" hidden="1">
              <a:extLst>
                <a:ext uri="{63B3BB69-23CF-44E3-9099-C40C66FF867C}">
                  <a14:compatExt spid="_x0000_s2028623"/>
                </a:ext>
                <a:ext uri="{FF2B5EF4-FFF2-40B4-BE49-F238E27FC236}">
                  <a16:creationId xmlns:a16="http://schemas.microsoft.com/office/drawing/2014/main" xmlns="" id="{00000000-0008-0000-0400-00004F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152</xdr:row>
          <xdr:rowOff>0</xdr:rowOff>
        </xdr:from>
        <xdr:to>
          <xdr:col>7</xdr:col>
          <xdr:colOff>0</xdr:colOff>
          <xdr:row>153</xdr:row>
          <xdr:rowOff>0</xdr:rowOff>
        </xdr:to>
        <xdr:sp macro="" textlink="">
          <xdr:nvSpPr>
            <xdr:cNvPr id="2028624" name="Group Box 80" hidden="1">
              <a:extLst>
                <a:ext uri="{63B3BB69-23CF-44E3-9099-C40C66FF867C}">
                  <a14:compatExt spid="_x0000_s2028624"/>
                </a:ext>
                <a:ext uri="{FF2B5EF4-FFF2-40B4-BE49-F238E27FC236}">
                  <a16:creationId xmlns:a16="http://schemas.microsoft.com/office/drawing/2014/main" xmlns="" id="{00000000-0008-0000-0400-000050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154</xdr:row>
          <xdr:rowOff>0</xdr:rowOff>
        </xdr:from>
        <xdr:to>
          <xdr:col>7</xdr:col>
          <xdr:colOff>0</xdr:colOff>
          <xdr:row>155</xdr:row>
          <xdr:rowOff>0</xdr:rowOff>
        </xdr:to>
        <xdr:sp macro="" textlink="">
          <xdr:nvSpPr>
            <xdr:cNvPr id="2028625" name="Group Box 81" hidden="1">
              <a:extLst>
                <a:ext uri="{63B3BB69-23CF-44E3-9099-C40C66FF867C}">
                  <a14:compatExt spid="_x0000_s2028625"/>
                </a:ext>
                <a:ext uri="{FF2B5EF4-FFF2-40B4-BE49-F238E27FC236}">
                  <a16:creationId xmlns:a16="http://schemas.microsoft.com/office/drawing/2014/main" xmlns="" id="{00000000-0008-0000-0400-000051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156</xdr:row>
          <xdr:rowOff>0</xdr:rowOff>
        </xdr:from>
        <xdr:to>
          <xdr:col>7</xdr:col>
          <xdr:colOff>0</xdr:colOff>
          <xdr:row>157</xdr:row>
          <xdr:rowOff>0</xdr:rowOff>
        </xdr:to>
        <xdr:sp macro="" textlink="">
          <xdr:nvSpPr>
            <xdr:cNvPr id="2028626" name="Group Box 82" hidden="1">
              <a:extLst>
                <a:ext uri="{63B3BB69-23CF-44E3-9099-C40C66FF867C}">
                  <a14:compatExt spid="_x0000_s2028626"/>
                </a:ext>
                <a:ext uri="{FF2B5EF4-FFF2-40B4-BE49-F238E27FC236}">
                  <a16:creationId xmlns:a16="http://schemas.microsoft.com/office/drawing/2014/main" xmlns="" id="{00000000-0008-0000-0400-000052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1190625</xdr:colOff>
          <xdr:row>158</xdr:row>
          <xdr:rowOff>0</xdr:rowOff>
        </xdr:from>
        <xdr:to>
          <xdr:col>7</xdr:col>
          <xdr:colOff>0</xdr:colOff>
          <xdr:row>159</xdr:row>
          <xdr:rowOff>0</xdr:rowOff>
        </xdr:to>
        <xdr:sp macro="" textlink="">
          <xdr:nvSpPr>
            <xdr:cNvPr id="2028627" name="Group Box 83" hidden="1">
              <a:extLst>
                <a:ext uri="{63B3BB69-23CF-44E3-9099-C40C66FF867C}">
                  <a14:compatExt spid="_x0000_s2028627"/>
                </a:ext>
                <a:ext uri="{FF2B5EF4-FFF2-40B4-BE49-F238E27FC236}">
                  <a16:creationId xmlns:a16="http://schemas.microsoft.com/office/drawing/2014/main" xmlns="" id="{00000000-0008-0000-0400-000053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160</xdr:row>
          <xdr:rowOff>0</xdr:rowOff>
        </xdr:from>
        <xdr:to>
          <xdr:col>7</xdr:col>
          <xdr:colOff>0</xdr:colOff>
          <xdr:row>161</xdr:row>
          <xdr:rowOff>0</xdr:rowOff>
        </xdr:to>
        <xdr:sp macro="" textlink="">
          <xdr:nvSpPr>
            <xdr:cNvPr id="2028628" name="Group Box 84" hidden="1">
              <a:extLst>
                <a:ext uri="{63B3BB69-23CF-44E3-9099-C40C66FF867C}">
                  <a14:compatExt spid="_x0000_s2028628"/>
                </a:ext>
                <a:ext uri="{FF2B5EF4-FFF2-40B4-BE49-F238E27FC236}">
                  <a16:creationId xmlns:a16="http://schemas.microsoft.com/office/drawing/2014/main" xmlns="" id="{00000000-0008-0000-0400-000054F41E00}"/>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38</xdr:row>
          <xdr:rowOff>66675</xdr:rowOff>
        </xdr:from>
        <xdr:to>
          <xdr:col>5</xdr:col>
          <xdr:colOff>838200</xdr:colOff>
          <xdr:row>38</xdr:row>
          <xdr:rowOff>295275</xdr:rowOff>
        </xdr:to>
        <xdr:sp macro="" textlink="">
          <xdr:nvSpPr>
            <xdr:cNvPr id="2028629" name="Option Button 85" hidden="1">
              <a:extLst>
                <a:ext uri="{63B3BB69-23CF-44E3-9099-C40C66FF867C}">
                  <a14:compatExt spid="_x0000_s2028629"/>
                </a:ext>
                <a:ext uri="{FF2B5EF4-FFF2-40B4-BE49-F238E27FC236}">
                  <a16:creationId xmlns:a16="http://schemas.microsoft.com/office/drawing/2014/main" xmlns="" id="{00000000-0008-0000-0400-000055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38</xdr:row>
          <xdr:rowOff>66675</xdr:rowOff>
        </xdr:from>
        <xdr:to>
          <xdr:col>6</xdr:col>
          <xdr:colOff>733425</xdr:colOff>
          <xdr:row>38</xdr:row>
          <xdr:rowOff>295275</xdr:rowOff>
        </xdr:to>
        <xdr:sp macro="" textlink="">
          <xdr:nvSpPr>
            <xdr:cNvPr id="2028630" name="Option Button 86" hidden="1">
              <a:extLst>
                <a:ext uri="{63B3BB69-23CF-44E3-9099-C40C66FF867C}">
                  <a14:compatExt spid="_x0000_s2028630"/>
                </a:ext>
                <a:ext uri="{FF2B5EF4-FFF2-40B4-BE49-F238E27FC236}">
                  <a16:creationId xmlns:a16="http://schemas.microsoft.com/office/drawing/2014/main" xmlns="" id="{00000000-0008-0000-0400-000056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44</xdr:row>
          <xdr:rowOff>114300</xdr:rowOff>
        </xdr:from>
        <xdr:to>
          <xdr:col>5</xdr:col>
          <xdr:colOff>828675</xdr:colOff>
          <xdr:row>44</xdr:row>
          <xdr:rowOff>333375</xdr:rowOff>
        </xdr:to>
        <xdr:sp macro="" textlink="">
          <xdr:nvSpPr>
            <xdr:cNvPr id="2028631" name="Option Button 87" hidden="1">
              <a:extLst>
                <a:ext uri="{63B3BB69-23CF-44E3-9099-C40C66FF867C}">
                  <a14:compatExt spid="_x0000_s2028631"/>
                </a:ext>
                <a:ext uri="{FF2B5EF4-FFF2-40B4-BE49-F238E27FC236}">
                  <a16:creationId xmlns:a16="http://schemas.microsoft.com/office/drawing/2014/main" xmlns="" id="{00000000-0008-0000-0400-000057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44</xdr:row>
          <xdr:rowOff>123825</xdr:rowOff>
        </xdr:from>
        <xdr:to>
          <xdr:col>6</xdr:col>
          <xdr:colOff>714375</xdr:colOff>
          <xdr:row>44</xdr:row>
          <xdr:rowOff>342900</xdr:rowOff>
        </xdr:to>
        <xdr:sp macro="" textlink="">
          <xdr:nvSpPr>
            <xdr:cNvPr id="2028632" name="Option Button 88" hidden="1">
              <a:extLst>
                <a:ext uri="{63B3BB69-23CF-44E3-9099-C40C66FF867C}">
                  <a14:compatExt spid="_x0000_s2028632"/>
                </a:ext>
                <a:ext uri="{FF2B5EF4-FFF2-40B4-BE49-F238E27FC236}">
                  <a16:creationId xmlns:a16="http://schemas.microsoft.com/office/drawing/2014/main" xmlns="" id="{00000000-0008-0000-0400-000058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46</xdr:row>
          <xdr:rowOff>104775</xdr:rowOff>
        </xdr:from>
        <xdr:to>
          <xdr:col>5</xdr:col>
          <xdr:colOff>828675</xdr:colOff>
          <xdr:row>46</xdr:row>
          <xdr:rowOff>333375</xdr:rowOff>
        </xdr:to>
        <xdr:sp macro="" textlink="">
          <xdr:nvSpPr>
            <xdr:cNvPr id="2028633" name="Option Button 89" hidden="1">
              <a:extLst>
                <a:ext uri="{63B3BB69-23CF-44E3-9099-C40C66FF867C}">
                  <a14:compatExt spid="_x0000_s2028633"/>
                </a:ext>
                <a:ext uri="{FF2B5EF4-FFF2-40B4-BE49-F238E27FC236}">
                  <a16:creationId xmlns:a16="http://schemas.microsoft.com/office/drawing/2014/main" xmlns="" id="{00000000-0008-0000-0400-000059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46</xdr:row>
          <xdr:rowOff>104775</xdr:rowOff>
        </xdr:from>
        <xdr:to>
          <xdr:col>6</xdr:col>
          <xdr:colOff>771525</xdr:colOff>
          <xdr:row>46</xdr:row>
          <xdr:rowOff>333375</xdr:rowOff>
        </xdr:to>
        <xdr:sp macro="" textlink="">
          <xdr:nvSpPr>
            <xdr:cNvPr id="2028634" name="Option Button 90" hidden="1">
              <a:extLst>
                <a:ext uri="{63B3BB69-23CF-44E3-9099-C40C66FF867C}">
                  <a14:compatExt spid="_x0000_s2028634"/>
                </a:ext>
                <a:ext uri="{FF2B5EF4-FFF2-40B4-BE49-F238E27FC236}">
                  <a16:creationId xmlns:a16="http://schemas.microsoft.com/office/drawing/2014/main" xmlns="" id="{00000000-0008-0000-0400-00005A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48</xdr:row>
          <xdr:rowOff>104775</xdr:rowOff>
        </xdr:from>
        <xdr:to>
          <xdr:col>5</xdr:col>
          <xdr:colOff>771525</xdr:colOff>
          <xdr:row>48</xdr:row>
          <xdr:rowOff>333375</xdr:rowOff>
        </xdr:to>
        <xdr:sp macro="" textlink="">
          <xdr:nvSpPr>
            <xdr:cNvPr id="2028635" name="Option Button 91" hidden="1">
              <a:extLst>
                <a:ext uri="{63B3BB69-23CF-44E3-9099-C40C66FF867C}">
                  <a14:compatExt spid="_x0000_s2028635"/>
                </a:ext>
                <a:ext uri="{FF2B5EF4-FFF2-40B4-BE49-F238E27FC236}">
                  <a16:creationId xmlns:a16="http://schemas.microsoft.com/office/drawing/2014/main" xmlns="" id="{00000000-0008-0000-0400-00005B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48</xdr:row>
          <xdr:rowOff>104775</xdr:rowOff>
        </xdr:from>
        <xdr:to>
          <xdr:col>6</xdr:col>
          <xdr:colOff>733425</xdr:colOff>
          <xdr:row>48</xdr:row>
          <xdr:rowOff>333375</xdr:rowOff>
        </xdr:to>
        <xdr:sp macro="" textlink="">
          <xdr:nvSpPr>
            <xdr:cNvPr id="2028636" name="Option Button 92" hidden="1">
              <a:extLst>
                <a:ext uri="{63B3BB69-23CF-44E3-9099-C40C66FF867C}">
                  <a14:compatExt spid="_x0000_s2028636"/>
                </a:ext>
                <a:ext uri="{FF2B5EF4-FFF2-40B4-BE49-F238E27FC236}">
                  <a16:creationId xmlns:a16="http://schemas.microsoft.com/office/drawing/2014/main" xmlns="" id="{00000000-0008-0000-0400-00005C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50</xdr:row>
          <xdr:rowOff>85725</xdr:rowOff>
        </xdr:from>
        <xdr:to>
          <xdr:col>5</xdr:col>
          <xdr:colOff>809625</xdr:colOff>
          <xdr:row>50</xdr:row>
          <xdr:rowOff>304800</xdr:rowOff>
        </xdr:to>
        <xdr:sp macro="" textlink="">
          <xdr:nvSpPr>
            <xdr:cNvPr id="2028637" name="Option Button 93" hidden="1">
              <a:extLst>
                <a:ext uri="{63B3BB69-23CF-44E3-9099-C40C66FF867C}">
                  <a14:compatExt spid="_x0000_s2028637"/>
                </a:ext>
                <a:ext uri="{FF2B5EF4-FFF2-40B4-BE49-F238E27FC236}">
                  <a16:creationId xmlns:a16="http://schemas.microsoft.com/office/drawing/2014/main" xmlns="" id="{00000000-0008-0000-0400-00005D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419100</xdr:colOff>
          <xdr:row>50</xdr:row>
          <xdr:rowOff>114300</xdr:rowOff>
        </xdr:from>
        <xdr:to>
          <xdr:col>6</xdr:col>
          <xdr:colOff>695325</xdr:colOff>
          <xdr:row>50</xdr:row>
          <xdr:rowOff>333375</xdr:rowOff>
        </xdr:to>
        <xdr:sp macro="" textlink="">
          <xdr:nvSpPr>
            <xdr:cNvPr id="2028638" name="Option Button 94" hidden="1">
              <a:extLst>
                <a:ext uri="{63B3BB69-23CF-44E3-9099-C40C66FF867C}">
                  <a14:compatExt spid="_x0000_s2028638"/>
                </a:ext>
                <a:ext uri="{FF2B5EF4-FFF2-40B4-BE49-F238E27FC236}">
                  <a16:creationId xmlns:a16="http://schemas.microsoft.com/office/drawing/2014/main" xmlns="" id="{00000000-0008-0000-0400-00005E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52</xdr:row>
          <xdr:rowOff>114300</xdr:rowOff>
        </xdr:from>
        <xdr:to>
          <xdr:col>5</xdr:col>
          <xdr:colOff>809625</xdr:colOff>
          <xdr:row>52</xdr:row>
          <xdr:rowOff>333375</xdr:rowOff>
        </xdr:to>
        <xdr:sp macro="" textlink="">
          <xdr:nvSpPr>
            <xdr:cNvPr id="2028639" name="Option Button 95" hidden="1">
              <a:extLst>
                <a:ext uri="{63B3BB69-23CF-44E3-9099-C40C66FF867C}">
                  <a14:compatExt spid="_x0000_s2028639"/>
                </a:ext>
                <a:ext uri="{FF2B5EF4-FFF2-40B4-BE49-F238E27FC236}">
                  <a16:creationId xmlns:a16="http://schemas.microsoft.com/office/drawing/2014/main" xmlns="" id="{00000000-0008-0000-0400-00005F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52</xdr:row>
          <xdr:rowOff>114300</xdr:rowOff>
        </xdr:from>
        <xdr:to>
          <xdr:col>6</xdr:col>
          <xdr:colOff>733425</xdr:colOff>
          <xdr:row>52</xdr:row>
          <xdr:rowOff>333375</xdr:rowOff>
        </xdr:to>
        <xdr:sp macro="" textlink="">
          <xdr:nvSpPr>
            <xdr:cNvPr id="2028640" name="Option Button 96" hidden="1">
              <a:extLst>
                <a:ext uri="{63B3BB69-23CF-44E3-9099-C40C66FF867C}">
                  <a14:compatExt spid="_x0000_s2028640"/>
                </a:ext>
                <a:ext uri="{FF2B5EF4-FFF2-40B4-BE49-F238E27FC236}">
                  <a16:creationId xmlns:a16="http://schemas.microsoft.com/office/drawing/2014/main" xmlns="" id="{00000000-0008-0000-0400-000060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54</xdr:row>
          <xdr:rowOff>85725</xdr:rowOff>
        </xdr:from>
        <xdr:to>
          <xdr:col>5</xdr:col>
          <xdr:colOff>838200</xdr:colOff>
          <xdr:row>54</xdr:row>
          <xdr:rowOff>304800</xdr:rowOff>
        </xdr:to>
        <xdr:sp macro="" textlink="">
          <xdr:nvSpPr>
            <xdr:cNvPr id="2028641" name="Option Button 97" hidden="1">
              <a:extLst>
                <a:ext uri="{63B3BB69-23CF-44E3-9099-C40C66FF867C}">
                  <a14:compatExt spid="_x0000_s2028641"/>
                </a:ext>
                <a:ext uri="{FF2B5EF4-FFF2-40B4-BE49-F238E27FC236}">
                  <a16:creationId xmlns:a16="http://schemas.microsoft.com/office/drawing/2014/main" xmlns="" id="{00000000-0008-0000-0400-000061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466725</xdr:colOff>
          <xdr:row>54</xdr:row>
          <xdr:rowOff>85725</xdr:rowOff>
        </xdr:from>
        <xdr:to>
          <xdr:col>6</xdr:col>
          <xdr:colOff>752475</xdr:colOff>
          <xdr:row>54</xdr:row>
          <xdr:rowOff>304800</xdr:rowOff>
        </xdr:to>
        <xdr:sp macro="" textlink="">
          <xdr:nvSpPr>
            <xdr:cNvPr id="2028642" name="Option Button 98" hidden="1">
              <a:extLst>
                <a:ext uri="{63B3BB69-23CF-44E3-9099-C40C66FF867C}">
                  <a14:compatExt spid="_x0000_s2028642"/>
                </a:ext>
                <a:ext uri="{FF2B5EF4-FFF2-40B4-BE49-F238E27FC236}">
                  <a16:creationId xmlns:a16="http://schemas.microsoft.com/office/drawing/2014/main" xmlns="" id="{00000000-0008-0000-0400-000062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56</xdr:row>
          <xdr:rowOff>123825</xdr:rowOff>
        </xdr:from>
        <xdr:to>
          <xdr:col>5</xdr:col>
          <xdr:colOff>809625</xdr:colOff>
          <xdr:row>56</xdr:row>
          <xdr:rowOff>342900</xdr:rowOff>
        </xdr:to>
        <xdr:sp macro="" textlink="">
          <xdr:nvSpPr>
            <xdr:cNvPr id="2028643" name="Option Button 99" hidden="1">
              <a:extLst>
                <a:ext uri="{63B3BB69-23CF-44E3-9099-C40C66FF867C}">
                  <a14:compatExt spid="_x0000_s2028643"/>
                </a:ext>
                <a:ext uri="{FF2B5EF4-FFF2-40B4-BE49-F238E27FC236}">
                  <a16:creationId xmlns:a16="http://schemas.microsoft.com/office/drawing/2014/main" xmlns="" id="{00000000-0008-0000-0400-000063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56</xdr:row>
          <xdr:rowOff>123825</xdr:rowOff>
        </xdr:from>
        <xdr:to>
          <xdr:col>6</xdr:col>
          <xdr:colOff>733425</xdr:colOff>
          <xdr:row>56</xdr:row>
          <xdr:rowOff>342900</xdr:rowOff>
        </xdr:to>
        <xdr:sp macro="" textlink="">
          <xdr:nvSpPr>
            <xdr:cNvPr id="2028644" name="Option Button 100" hidden="1">
              <a:extLst>
                <a:ext uri="{63B3BB69-23CF-44E3-9099-C40C66FF867C}">
                  <a14:compatExt spid="_x0000_s2028644"/>
                </a:ext>
                <a:ext uri="{FF2B5EF4-FFF2-40B4-BE49-F238E27FC236}">
                  <a16:creationId xmlns:a16="http://schemas.microsoft.com/office/drawing/2014/main" xmlns="" id="{00000000-0008-0000-0400-000064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58</xdr:row>
          <xdr:rowOff>114300</xdr:rowOff>
        </xdr:from>
        <xdr:to>
          <xdr:col>5</xdr:col>
          <xdr:colOff>809625</xdr:colOff>
          <xdr:row>58</xdr:row>
          <xdr:rowOff>333375</xdr:rowOff>
        </xdr:to>
        <xdr:sp macro="" textlink="">
          <xdr:nvSpPr>
            <xdr:cNvPr id="2028645" name="Option Button 101" hidden="1">
              <a:extLst>
                <a:ext uri="{63B3BB69-23CF-44E3-9099-C40C66FF867C}">
                  <a14:compatExt spid="_x0000_s2028645"/>
                </a:ext>
                <a:ext uri="{FF2B5EF4-FFF2-40B4-BE49-F238E27FC236}">
                  <a16:creationId xmlns:a16="http://schemas.microsoft.com/office/drawing/2014/main" xmlns="" id="{00000000-0008-0000-0400-000065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466725</xdr:colOff>
          <xdr:row>58</xdr:row>
          <xdr:rowOff>123825</xdr:rowOff>
        </xdr:from>
        <xdr:to>
          <xdr:col>6</xdr:col>
          <xdr:colOff>752475</xdr:colOff>
          <xdr:row>58</xdr:row>
          <xdr:rowOff>342900</xdr:rowOff>
        </xdr:to>
        <xdr:sp macro="" textlink="">
          <xdr:nvSpPr>
            <xdr:cNvPr id="2028646" name="Option Button 102" hidden="1">
              <a:extLst>
                <a:ext uri="{63B3BB69-23CF-44E3-9099-C40C66FF867C}">
                  <a14:compatExt spid="_x0000_s2028646"/>
                </a:ext>
                <a:ext uri="{FF2B5EF4-FFF2-40B4-BE49-F238E27FC236}">
                  <a16:creationId xmlns:a16="http://schemas.microsoft.com/office/drawing/2014/main" xmlns="" id="{00000000-0008-0000-0400-000066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60</xdr:row>
          <xdr:rowOff>142875</xdr:rowOff>
        </xdr:from>
        <xdr:to>
          <xdr:col>5</xdr:col>
          <xdr:colOff>790575</xdr:colOff>
          <xdr:row>60</xdr:row>
          <xdr:rowOff>371475</xdr:rowOff>
        </xdr:to>
        <xdr:sp macro="" textlink="">
          <xdr:nvSpPr>
            <xdr:cNvPr id="2028647" name="Option Button 103" hidden="1">
              <a:extLst>
                <a:ext uri="{63B3BB69-23CF-44E3-9099-C40C66FF867C}">
                  <a14:compatExt spid="_x0000_s2028647"/>
                </a:ext>
                <a:ext uri="{FF2B5EF4-FFF2-40B4-BE49-F238E27FC236}">
                  <a16:creationId xmlns:a16="http://schemas.microsoft.com/office/drawing/2014/main" xmlns="" id="{00000000-0008-0000-0400-000067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60</xdr:row>
          <xdr:rowOff>104775</xdr:rowOff>
        </xdr:from>
        <xdr:to>
          <xdr:col>6</xdr:col>
          <xdr:colOff>733425</xdr:colOff>
          <xdr:row>60</xdr:row>
          <xdr:rowOff>333375</xdr:rowOff>
        </xdr:to>
        <xdr:sp macro="" textlink="">
          <xdr:nvSpPr>
            <xdr:cNvPr id="2028648" name="Option Button 104" hidden="1">
              <a:extLst>
                <a:ext uri="{63B3BB69-23CF-44E3-9099-C40C66FF867C}">
                  <a14:compatExt spid="_x0000_s2028648"/>
                </a:ext>
                <a:ext uri="{FF2B5EF4-FFF2-40B4-BE49-F238E27FC236}">
                  <a16:creationId xmlns:a16="http://schemas.microsoft.com/office/drawing/2014/main" xmlns="" id="{00000000-0008-0000-0400-000068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62</xdr:row>
          <xdr:rowOff>142875</xdr:rowOff>
        </xdr:from>
        <xdr:to>
          <xdr:col>5</xdr:col>
          <xdr:colOff>809625</xdr:colOff>
          <xdr:row>62</xdr:row>
          <xdr:rowOff>371475</xdr:rowOff>
        </xdr:to>
        <xdr:sp macro="" textlink="">
          <xdr:nvSpPr>
            <xdr:cNvPr id="2028649" name="Option Button 105" hidden="1">
              <a:extLst>
                <a:ext uri="{63B3BB69-23CF-44E3-9099-C40C66FF867C}">
                  <a14:compatExt spid="_x0000_s2028649"/>
                </a:ext>
                <a:ext uri="{FF2B5EF4-FFF2-40B4-BE49-F238E27FC236}">
                  <a16:creationId xmlns:a16="http://schemas.microsoft.com/office/drawing/2014/main" xmlns="" id="{00000000-0008-0000-0400-000069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62</xdr:row>
          <xdr:rowOff>123825</xdr:rowOff>
        </xdr:from>
        <xdr:to>
          <xdr:col>6</xdr:col>
          <xdr:colOff>733425</xdr:colOff>
          <xdr:row>62</xdr:row>
          <xdr:rowOff>342900</xdr:rowOff>
        </xdr:to>
        <xdr:sp macro="" textlink="">
          <xdr:nvSpPr>
            <xdr:cNvPr id="2028650" name="Option Button 106" hidden="1">
              <a:extLst>
                <a:ext uri="{63B3BB69-23CF-44E3-9099-C40C66FF867C}">
                  <a14:compatExt spid="_x0000_s2028650"/>
                </a:ext>
                <a:ext uri="{FF2B5EF4-FFF2-40B4-BE49-F238E27FC236}">
                  <a16:creationId xmlns:a16="http://schemas.microsoft.com/office/drawing/2014/main" xmlns="" id="{00000000-0008-0000-0400-00006A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64</xdr:row>
          <xdr:rowOff>104775</xdr:rowOff>
        </xdr:from>
        <xdr:to>
          <xdr:col>5</xdr:col>
          <xdr:colOff>809625</xdr:colOff>
          <xdr:row>64</xdr:row>
          <xdr:rowOff>333375</xdr:rowOff>
        </xdr:to>
        <xdr:sp macro="" textlink="">
          <xdr:nvSpPr>
            <xdr:cNvPr id="2028651" name="Option Button 107" hidden="1">
              <a:extLst>
                <a:ext uri="{63B3BB69-23CF-44E3-9099-C40C66FF867C}">
                  <a14:compatExt spid="_x0000_s2028651"/>
                </a:ext>
                <a:ext uri="{FF2B5EF4-FFF2-40B4-BE49-F238E27FC236}">
                  <a16:creationId xmlns:a16="http://schemas.microsoft.com/office/drawing/2014/main" xmlns="" id="{00000000-0008-0000-0400-00006B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64</xdr:row>
          <xdr:rowOff>114300</xdr:rowOff>
        </xdr:from>
        <xdr:to>
          <xdr:col>6</xdr:col>
          <xdr:colOff>714375</xdr:colOff>
          <xdr:row>64</xdr:row>
          <xdr:rowOff>333375</xdr:rowOff>
        </xdr:to>
        <xdr:sp macro="" textlink="">
          <xdr:nvSpPr>
            <xdr:cNvPr id="2028652" name="Option Button 108" hidden="1">
              <a:extLst>
                <a:ext uri="{63B3BB69-23CF-44E3-9099-C40C66FF867C}">
                  <a14:compatExt spid="_x0000_s2028652"/>
                </a:ext>
                <a:ext uri="{FF2B5EF4-FFF2-40B4-BE49-F238E27FC236}">
                  <a16:creationId xmlns:a16="http://schemas.microsoft.com/office/drawing/2014/main" xmlns="" id="{00000000-0008-0000-0400-00006C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70</xdr:row>
          <xdr:rowOff>104775</xdr:rowOff>
        </xdr:from>
        <xdr:to>
          <xdr:col>5</xdr:col>
          <xdr:colOff>828675</xdr:colOff>
          <xdr:row>70</xdr:row>
          <xdr:rowOff>333375</xdr:rowOff>
        </xdr:to>
        <xdr:sp macro="" textlink="">
          <xdr:nvSpPr>
            <xdr:cNvPr id="2028653" name="Option Button 109" hidden="1">
              <a:extLst>
                <a:ext uri="{63B3BB69-23CF-44E3-9099-C40C66FF867C}">
                  <a14:compatExt spid="_x0000_s2028653"/>
                </a:ext>
                <a:ext uri="{FF2B5EF4-FFF2-40B4-BE49-F238E27FC236}">
                  <a16:creationId xmlns:a16="http://schemas.microsoft.com/office/drawing/2014/main" xmlns="" id="{00000000-0008-0000-0400-00006D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419100</xdr:colOff>
          <xdr:row>70</xdr:row>
          <xdr:rowOff>104775</xdr:rowOff>
        </xdr:from>
        <xdr:to>
          <xdr:col>6</xdr:col>
          <xdr:colOff>695325</xdr:colOff>
          <xdr:row>70</xdr:row>
          <xdr:rowOff>333375</xdr:rowOff>
        </xdr:to>
        <xdr:sp macro="" textlink="">
          <xdr:nvSpPr>
            <xdr:cNvPr id="2028654" name="Option Button 110" hidden="1">
              <a:extLst>
                <a:ext uri="{63B3BB69-23CF-44E3-9099-C40C66FF867C}">
                  <a14:compatExt spid="_x0000_s2028654"/>
                </a:ext>
                <a:ext uri="{FF2B5EF4-FFF2-40B4-BE49-F238E27FC236}">
                  <a16:creationId xmlns:a16="http://schemas.microsoft.com/office/drawing/2014/main" xmlns="" id="{00000000-0008-0000-0400-00006E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76</xdr:row>
          <xdr:rowOff>76200</xdr:rowOff>
        </xdr:from>
        <xdr:to>
          <xdr:col>5</xdr:col>
          <xdr:colOff>809625</xdr:colOff>
          <xdr:row>76</xdr:row>
          <xdr:rowOff>295275</xdr:rowOff>
        </xdr:to>
        <xdr:sp macro="" textlink="">
          <xdr:nvSpPr>
            <xdr:cNvPr id="2028655" name="Option Button 111" hidden="1">
              <a:extLst>
                <a:ext uri="{63B3BB69-23CF-44E3-9099-C40C66FF867C}">
                  <a14:compatExt spid="_x0000_s2028655"/>
                </a:ext>
                <a:ext uri="{FF2B5EF4-FFF2-40B4-BE49-F238E27FC236}">
                  <a16:creationId xmlns:a16="http://schemas.microsoft.com/office/drawing/2014/main" xmlns="" id="{00000000-0008-0000-0400-00006F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419100</xdr:colOff>
          <xdr:row>76</xdr:row>
          <xdr:rowOff>76200</xdr:rowOff>
        </xdr:from>
        <xdr:to>
          <xdr:col>6</xdr:col>
          <xdr:colOff>695325</xdr:colOff>
          <xdr:row>76</xdr:row>
          <xdr:rowOff>295275</xdr:rowOff>
        </xdr:to>
        <xdr:sp macro="" textlink="">
          <xdr:nvSpPr>
            <xdr:cNvPr id="2028656" name="Option Button 112" hidden="1">
              <a:extLst>
                <a:ext uri="{63B3BB69-23CF-44E3-9099-C40C66FF867C}">
                  <a14:compatExt spid="_x0000_s2028656"/>
                </a:ext>
                <a:ext uri="{FF2B5EF4-FFF2-40B4-BE49-F238E27FC236}">
                  <a16:creationId xmlns:a16="http://schemas.microsoft.com/office/drawing/2014/main" xmlns="" id="{00000000-0008-0000-0400-000070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78</xdr:row>
          <xdr:rowOff>66675</xdr:rowOff>
        </xdr:from>
        <xdr:to>
          <xdr:col>5</xdr:col>
          <xdr:colOff>828675</xdr:colOff>
          <xdr:row>78</xdr:row>
          <xdr:rowOff>295275</xdr:rowOff>
        </xdr:to>
        <xdr:sp macro="" textlink="">
          <xdr:nvSpPr>
            <xdr:cNvPr id="2028657" name="Option Button 113" hidden="1">
              <a:extLst>
                <a:ext uri="{63B3BB69-23CF-44E3-9099-C40C66FF867C}">
                  <a14:compatExt spid="_x0000_s2028657"/>
                </a:ext>
                <a:ext uri="{FF2B5EF4-FFF2-40B4-BE49-F238E27FC236}">
                  <a16:creationId xmlns:a16="http://schemas.microsoft.com/office/drawing/2014/main" xmlns="" id="{00000000-0008-0000-0400-000071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78</xdr:row>
          <xdr:rowOff>85725</xdr:rowOff>
        </xdr:from>
        <xdr:to>
          <xdr:col>6</xdr:col>
          <xdr:colOff>714375</xdr:colOff>
          <xdr:row>78</xdr:row>
          <xdr:rowOff>304800</xdr:rowOff>
        </xdr:to>
        <xdr:sp macro="" textlink="">
          <xdr:nvSpPr>
            <xdr:cNvPr id="2028658" name="Option Button 114" hidden="1">
              <a:extLst>
                <a:ext uri="{63B3BB69-23CF-44E3-9099-C40C66FF867C}">
                  <a14:compatExt spid="_x0000_s2028658"/>
                </a:ext>
                <a:ext uri="{FF2B5EF4-FFF2-40B4-BE49-F238E27FC236}">
                  <a16:creationId xmlns:a16="http://schemas.microsoft.com/office/drawing/2014/main" xmlns="" id="{00000000-0008-0000-0400-000072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80</xdr:row>
          <xdr:rowOff>114300</xdr:rowOff>
        </xdr:from>
        <xdr:to>
          <xdr:col>5</xdr:col>
          <xdr:colOff>828675</xdr:colOff>
          <xdr:row>80</xdr:row>
          <xdr:rowOff>333375</xdr:rowOff>
        </xdr:to>
        <xdr:sp macro="" textlink="">
          <xdr:nvSpPr>
            <xdr:cNvPr id="2028659" name="Option Button 115" hidden="1">
              <a:extLst>
                <a:ext uri="{63B3BB69-23CF-44E3-9099-C40C66FF867C}">
                  <a14:compatExt spid="_x0000_s2028659"/>
                </a:ext>
                <a:ext uri="{FF2B5EF4-FFF2-40B4-BE49-F238E27FC236}">
                  <a16:creationId xmlns:a16="http://schemas.microsoft.com/office/drawing/2014/main" xmlns="" id="{00000000-0008-0000-0400-000073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80</xdr:row>
          <xdr:rowOff>85725</xdr:rowOff>
        </xdr:from>
        <xdr:to>
          <xdr:col>6</xdr:col>
          <xdr:colOff>733425</xdr:colOff>
          <xdr:row>80</xdr:row>
          <xdr:rowOff>304800</xdr:rowOff>
        </xdr:to>
        <xdr:sp macro="" textlink="">
          <xdr:nvSpPr>
            <xdr:cNvPr id="2028660" name="Option Button 116" hidden="1">
              <a:extLst>
                <a:ext uri="{63B3BB69-23CF-44E3-9099-C40C66FF867C}">
                  <a14:compatExt spid="_x0000_s2028660"/>
                </a:ext>
                <a:ext uri="{FF2B5EF4-FFF2-40B4-BE49-F238E27FC236}">
                  <a16:creationId xmlns:a16="http://schemas.microsoft.com/office/drawing/2014/main" xmlns="" id="{00000000-0008-0000-0400-000074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82</xdr:row>
          <xdr:rowOff>66675</xdr:rowOff>
        </xdr:from>
        <xdr:to>
          <xdr:col>5</xdr:col>
          <xdr:colOff>838200</xdr:colOff>
          <xdr:row>82</xdr:row>
          <xdr:rowOff>295275</xdr:rowOff>
        </xdr:to>
        <xdr:sp macro="" textlink="">
          <xdr:nvSpPr>
            <xdr:cNvPr id="2028661" name="Option Button 117" hidden="1">
              <a:extLst>
                <a:ext uri="{63B3BB69-23CF-44E3-9099-C40C66FF867C}">
                  <a14:compatExt spid="_x0000_s2028661"/>
                </a:ext>
                <a:ext uri="{FF2B5EF4-FFF2-40B4-BE49-F238E27FC236}">
                  <a16:creationId xmlns:a16="http://schemas.microsoft.com/office/drawing/2014/main" xmlns="" id="{00000000-0008-0000-0400-000075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82</xdr:row>
          <xdr:rowOff>66675</xdr:rowOff>
        </xdr:from>
        <xdr:to>
          <xdr:col>6</xdr:col>
          <xdr:colOff>733425</xdr:colOff>
          <xdr:row>82</xdr:row>
          <xdr:rowOff>295275</xdr:rowOff>
        </xdr:to>
        <xdr:sp macro="" textlink="">
          <xdr:nvSpPr>
            <xdr:cNvPr id="2028662" name="Option Button 118" hidden="1">
              <a:extLst>
                <a:ext uri="{63B3BB69-23CF-44E3-9099-C40C66FF867C}">
                  <a14:compatExt spid="_x0000_s2028662"/>
                </a:ext>
                <a:ext uri="{FF2B5EF4-FFF2-40B4-BE49-F238E27FC236}">
                  <a16:creationId xmlns:a16="http://schemas.microsoft.com/office/drawing/2014/main" xmlns="" id="{00000000-0008-0000-0400-000076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84</xdr:row>
          <xdr:rowOff>85725</xdr:rowOff>
        </xdr:from>
        <xdr:to>
          <xdr:col>5</xdr:col>
          <xdr:colOff>809625</xdr:colOff>
          <xdr:row>84</xdr:row>
          <xdr:rowOff>304800</xdr:rowOff>
        </xdr:to>
        <xdr:sp macro="" textlink="">
          <xdr:nvSpPr>
            <xdr:cNvPr id="2028663" name="Option Button 119" hidden="1">
              <a:extLst>
                <a:ext uri="{63B3BB69-23CF-44E3-9099-C40C66FF867C}">
                  <a14:compatExt spid="_x0000_s2028663"/>
                </a:ext>
                <a:ext uri="{FF2B5EF4-FFF2-40B4-BE49-F238E27FC236}">
                  <a16:creationId xmlns:a16="http://schemas.microsoft.com/office/drawing/2014/main" xmlns="" id="{00000000-0008-0000-0400-000077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84</xdr:row>
          <xdr:rowOff>85725</xdr:rowOff>
        </xdr:from>
        <xdr:to>
          <xdr:col>6</xdr:col>
          <xdr:colOff>714375</xdr:colOff>
          <xdr:row>84</xdr:row>
          <xdr:rowOff>304800</xdr:rowOff>
        </xdr:to>
        <xdr:sp macro="" textlink="">
          <xdr:nvSpPr>
            <xdr:cNvPr id="2028664" name="Option Button 120" hidden="1">
              <a:extLst>
                <a:ext uri="{63B3BB69-23CF-44E3-9099-C40C66FF867C}">
                  <a14:compatExt spid="_x0000_s2028664"/>
                </a:ext>
                <a:ext uri="{FF2B5EF4-FFF2-40B4-BE49-F238E27FC236}">
                  <a16:creationId xmlns:a16="http://schemas.microsoft.com/office/drawing/2014/main" xmlns="" id="{00000000-0008-0000-0400-000078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86</xdr:row>
          <xdr:rowOff>104775</xdr:rowOff>
        </xdr:from>
        <xdr:to>
          <xdr:col>5</xdr:col>
          <xdr:colOff>838200</xdr:colOff>
          <xdr:row>86</xdr:row>
          <xdr:rowOff>333375</xdr:rowOff>
        </xdr:to>
        <xdr:sp macro="" textlink="">
          <xdr:nvSpPr>
            <xdr:cNvPr id="2028665" name="Option Button 121" hidden="1">
              <a:extLst>
                <a:ext uri="{63B3BB69-23CF-44E3-9099-C40C66FF867C}">
                  <a14:compatExt spid="_x0000_s2028665"/>
                </a:ext>
                <a:ext uri="{FF2B5EF4-FFF2-40B4-BE49-F238E27FC236}">
                  <a16:creationId xmlns:a16="http://schemas.microsoft.com/office/drawing/2014/main" xmlns="" id="{00000000-0008-0000-0400-000079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86</xdr:row>
          <xdr:rowOff>76200</xdr:rowOff>
        </xdr:from>
        <xdr:to>
          <xdr:col>6</xdr:col>
          <xdr:colOff>714375</xdr:colOff>
          <xdr:row>86</xdr:row>
          <xdr:rowOff>295275</xdr:rowOff>
        </xdr:to>
        <xdr:sp macro="" textlink="">
          <xdr:nvSpPr>
            <xdr:cNvPr id="2028666" name="Option Button 122" hidden="1">
              <a:extLst>
                <a:ext uri="{63B3BB69-23CF-44E3-9099-C40C66FF867C}">
                  <a14:compatExt spid="_x0000_s2028666"/>
                </a:ext>
                <a:ext uri="{FF2B5EF4-FFF2-40B4-BE49-F238E27FC236}">
                  <a16:creationId xmlns:a16="http://schemas.microsoft.com/office/drawing/2014/main" xmlns="" id="{00000000-0008-0000-0400-00007A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88</xdr:row>
          <xdr:rowOff>104775</xdr:rowOff>
        </xdr:from>
        <xdr:to>
          <xdr:col>5</xdr:col>
          <xdr:colOff>866775</xdr:colOff>
          <xdr:row>88</xdr:row>
          <xdr:rowOff>333375</xdr:rowOff>
        </xdr:to>
        <xdr:sp macro="" textlink="">
          <xdr:nvSpPr>
            <xdr:cNvPr id="2028667" name="Option Button 123" hidden="1">
              <a:extLst>
                <a:ext uri="{63B3BB69-23CF-44E3-9099-C40C66FF867C}">
                  <a14:compatExt spid="_x0000_s2028667"/>
                </a:ext>
                <a:ext uri="{FF2B5EF4-FFF2-40B4-BE49-F238E27FC236}">
                  <a16:creationId xmlns:a16="http://schemas.microsoft.com/office/drawing/2014/main" xmlns="" id="{00000000-0008-0000-0400-00007B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88</xdr:row>
          <xdr:rowOff>85725</xdr:rowOff>
        </xdr:from>
        <xdr:to>
          <xdr:col>6</xdr:col>
          <xdr:colOff>714375</xdr:colOff>
          <xdr:row>88</xdr:row>
          <xdr:rowOff>304800</xdr:rowOff>
        </xdr:to>
        <xdr:sp macro="" textlink="">
          <xdr:nvSpPr>
            <xdr:cNvPr id="2028668" name="Option Button 124" hidden="1">
              <a:extLst>
                <a:ext uri="{63B3BB69-23CF-44E3-9099-C40C66FF867C}">
                  <a14:compatExt spid="_x0000_s2028668"/>
                </a:ext>
                <a:ext uri="{FF2B5EF4-FFF2-40B4-BE49-F238E27FC236}">
                  <a16:creationId xmlns:a16="http://schemas.microsoft.com/office/drawing/2014/main" xmlns="" id="{00000000-0008-0000-0400-00007C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90</xdr:row>
          <xdr:rowOff>85725</xdr:rowOff>
        </xdr:from>
        <xdr:to>
          <xdr:col>5</xdr:col>
          <xdr:colOff>866775</xdr:colOff>
          <xdr:row>90</xdr:row>
          <xdr:rowOff>304800</xdr:rowOff>
        </xdr:to>
        <xdr:sp macro="" textlink="">
          <xdr:nvSpPr>
            <xdr:cNvPr id="2028669" name="Option Button 125" hidden="1">
              <a:extLst>
                <a:ext uri="{63B3BB69-23CF-44E3-9099-C40C66FF867C}">
                  <a14:compatExt spid="_x0000_s2028669"/>
                </a:ext>
                <a:ext uri="{FF2B5EF4-FFF2-40B4-BE49-F238E27FC236}">
                  <a16:creationId xmlns:a16="http://schemas.microsoft.com/office/drawing/2014/main" xmlns="" id="{00000000-0008-0000-0400-00007D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90</xdr:row>
          <xdr:rowOff>85725</xdr:rowOff>
        </xdr:from>
        <xdr:to>
          <xdr:col>6</xdr:col>
          <xdr:colOff>714375</xdr:colOff>
          <xdr:row>90</xdr:row>
          <xdr:rowOff>304800</xdr:rowOff>
        </xdr:to>
        <xdr:sp macro="" textlink="">
          <xdr:nvSpPr>
            <xdr:cNvPr id="2028670" name="Option Button 126" hidden="1">
              <a:extLst>
                <a:ext uri="{63B3BB69-23CF-44E3-9099-C40C66FF867C}">
                  <a14:compatExt spid="_x0000_s2028670"/>
                </a:ext>
                <a:ext uri="{FF2B5EF4-FFF2-40B4-BE49-F238E27FC236}">
                  <a16:creationId xmlns:a16="http://schemas.microsoft.com/office/drawing/2014/main" xmlns="" id="{00000000-0008-0000-0400-00007E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92</xdr:row>
          <xdr:rowOff>104775</xdr:rowOff>
        </xdr:from>
        <xdr:to>
          <xdr:col>5</xdr:col>
          <xdr:colOff>847725</xdr:colOff>
          <xdr:row>92</xdr:row>
          <xdr:rowOff>333375</xdr:rowOff>
        </xdr:to>
        <xdr:sp macro="" textlink="">
          <xdr:nvSpPr>
            <xdr:cNvPr id="2028671" name="Option Button 127" hidden="1">
              <a:extLst>
                <a:ext uri="{63B3BB69-23CF-44E3-9099-C40C66FF867C}">
                  <a14:compatExt spid="_x0000_s2028671"/>
                </a:ext>
                <a:ext uri="{FF2B5EF4-FFF2-40B4-BE49-F238E27FC236}">
                  <a16:creationId xmlns:a16="http://schemas.microsoft.com/office/drawing/2014/main" xmlns="" id="{00000000-0008-0000-0400-00007F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92</xdr:row>
          <xdr:rowOff>76200</xdr:rowOff>
        </xdr:from>
        <xdr:to>
          <xdr:col>6</xdr:col>
          <xdr:colOff>714375</xdr:colOff>
          <xdr:row>92</xdr:row>
          <xdr:rowOff>295275</xdr:rowOff>
        </xdr:to>
        <xdr:sp macro="" textlink="">
          <xdr:nvSpPr>
            <xdr:cNvPr id="2028672" name="Option Button 128" hidden="1">
              <a:extLst>
                <a:ext uri="{63B3BB69-23CF-44E3-9099-C40C66FF867C}">
                  <a14:compatExt spid="_x0000_s2028672"/>
                </a:ext>
                <a:ext uri="{FF2B5EF4-FFF2-40B4-BE49-F238E27FC236}">
                  <a16:creationId xmlns:a16="http://schemas.microsoft.com/office/drawing/2014/main" xmlns="" id="{00000000-0008-0000-0400-000080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94</xdr:row>
          <xdr:rowOff>104775</xdr:rowOff>
        </xdr:from>
        <xdr:to>
          <xdr:col>5</xdr:col>
          <xdr:colOff>809625</xdr:colOff>
          <xdr:row>94</xdr:row>
          <xdr:rowOff>333375</xdr:rowOff>
        </xdr:to>
        <xdr:sp macro="" textlink="">
          <xdr:nvSpPr>
            <xdr:cNvPr id="2028673" name="Option Button 129" hidden="1">
              <a:extLst>
                <a:ext uri="{63B3BB69-23CF-44E3-9099-C40C66FF867C}">
                  <a14:compatExt spid="_x0000_s2028673"/>
                </a:ext>
                <a:ext uri="{FF2B5EF4-FFF2-40B4-BE49-F238E27FC236}">
                  <a16:creationId xmlns:a16="http://schemas.microsoft.com/office/drawing/2014/main" xmlns="" id="{00000000-0008-0000-0400-000081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94</xdr:row>
          <xdr:rowOff>142875</xdr:rowOff>
        </xdr:from>
        <xdr:to>
          <xdr:col>6</xdr:col>
          <xdr:colOff>714375</xdr:colOff>
          <xdr:row>94</xdr:row>
          <xdr:rowOff>371475</xdr:rowOff>
        </xdr:to>
        <xdr:sp macro="" textlink="">
          <xdr:nvSpPr>
            <xdr:cNvPr id="2028674" name="Option Button 130" hidden="1">
              <a:extLst>
                <a:ext uri="{63B3BB69-23CF-44E3-9099-C40C66FF867C}">
                  <a14:compatExt spid="_x0000_s2028674"/>
                </a:ext>
                <a:ext uri="{FF2B5EF4-FFF2-40B4-BE49-F238E27FC236}">
                  <a16:creationId xmlns:a16="http://schemas.microsoft.com/office/drawing/2014/main" xmlns="" id="{00000000-0008-0000-0400-000082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96</xdr:row>
          <xdr:rowOff>104775</xdr:rowOff>
        </xdr:from>
        <xdr:to>
          <xdr:col>5</xdr:col>
          <xdr:colOff>847725</xdr:colOff>
          <xdr:row>96</xdr:row>
          <xdr:rowOff>333375</xdr:rowOff>
        </xdr:to>
        <xdr:sp macro="" textlink="">
          <xdr:nvSpPr>
            <xdr:cNvPr id="2028675" name="Option Button 131" hidden="1">
              <a:extLst>
                <a:ext uri="{63B3BB69-23CF-44E3-9099-C40C66FF867C}">
                  <a14:compatExt spid="_x0000_s2028675"/>
                </a:ext>
                <a:ext uri="{FF2B5EF4-FFF2-40B4-BE49-F238E27FC236}">
                  <a16:creationId xmlns:a16="http://schemas.microsoft.com/office/drawing/2014/main" xmlns="" id="{00000000-0008-0000-0400-000083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96</xdr:row>
          <xdr:rowOff>85725</xdr:rowOff>
        </xdr:from>
        <xdr:to>
          <xdr:col>6</xdr:col>
          <xdr:colOff>733425</xdr:colOff>
          <xdr:row>96</xdr:row>
          <xdr:rowOff>304800</xdr:rowOff>
        </xdr:to>
        <xdr:sp macro="" textlink="">
          <xdr:nvSpPr>
            <xdr:cNvPr id="2028676" name="Option Button 132" hidden="1">
              <a:extLst>
                <a:ext uri="{63B3BB69-23CF-44E3-9099-C40C66FF867C}">
                  <a14:compatExt spid="_x0000_s2028676"/>
                </a:ext>
                <a:ext uri="{FF2B5EF4-FFF2-40B4-BE49-F238E27FC236}">
                  <a16:creationId xmlns:a16="http://schemas.microsoft.com/office/drawing/2014/main" xmlns="" id="{00000000-0008-0000-0400-000084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102</xdr:row>
          <xdr:rowOff>85725</xdr:rowOff>
        </xdr:from>
        <xdr:to>
          <xdr:col>5</xdr:col>
          <xdr:colOff>847725</xdr:colOff>
          <xdr:row>102</xdr:row>
          <xdr:rowOff>304800</xdr:rowOff>
        </xdr:to>
        <xdr:sp macro="" textlink="">
          <xdr:nvSpPr>
            <xdr:cNvPr id="2028677" name="Option Button 133" hidden="1">
              <a:extLst>
                <a:ext uri="{63B3BB69-23CF-44E3-9099-C40C66FF867C}">
                  <a14:compatExt spid="_x0000_s2028677"/>
                </a:ext>
                <a:ext uri="{FF2B5EF4-FFF2-40B4-BE49-F238E27FC236}">
                  <a16:creationId xmlns:a16="http://schemas.microsoft.com/office/drawing/2014/main" xmlns="" id="{00000000-0008-0000-0400-000085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102</xdr:row>
          <xdr:rowOff>85725</xdr:rowOff>
        </xdr:from>
        <xdr:to>
          <xdr:col>6</xdr:col>
          <xdr:colOff>733425</xdr:colOff>
          <xdr:row>102</xdr:row>
          <xdr:rowOff>304800</xdr:rowOff>
        </xdr:to>
        <xdr:sp macro="" textlink="">
          <xdr:nvSpPr>
            <xdr:cNvPr id="2028678" name="Option Button 134" hidden="1">
              <a:extLst>
                <a:ext uri="{63B3BB69-23CF-44E3-9099-C40C66FF867C}">
                  <a14:compatExt spid="_x0000_s2028678"/>
                </a:ext>
                <a:ext uri="{FF2B5EF4-FFF2-40B4-BE49-F238E27FC236}">
                  <a16:creationId xmlns:a16="http://schemas.microsoft.com/office/drawing/2014/main" xmlns="" id="{00000000-0008-0000-0400-000086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108</xdr:row>
          <xdr:rowOff>104775</xdr:rowOff>
        </xdr:from>
        <xdr:to>
          <xdr:col>5</xdr:col>
          <xdr:colOff>809625</xdr:colOff>
          <xdr:row>108</xdr:row>
          <xdr:rowOff>333375</xdr:rowOff>
        </xdr:to>
        <xdr:sp macro="" textlink="">
          <xdr:nvSpPr>
            <xdr:cNvPr id="2028679" name="Option Button 135" hidden="1">
              <a:extLst>
                <a:ext uri="{63B3BB69-23CF-44E3-9099-C40C66FF867C}">
                  <a14:compatExt spid="_x0000_s2028679"/>
                </a:ext>
                <a:ext uri="{FF2B5EF4-FFF2-40B4-BE49-F238E27FC236}">
                  <a16:creationId xmlns:a16="http://schemas.microsoft.com/office/drawing/2014/main" xmlns="" id="{00000000-0008-0000-0400-000087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466725</xdr:colOff>
          <xdr:row>108</xdr:row>
          <xdr:rowOff>85725</xdr:rowOff>
        </xdr:from>
        <xdr:to>
          <xdr:col>6</xdr:col>
          <xdr:colOff>752475</xdr:colOff>
          <xdr:row>108</xdr:row>
          <xdr:rowOff>304800</xdr:rowOff>
        </xdr:to>
        <xdr:sp macro="" textlink="">
          <xdr:nvSpPr>
            <xdr:cNvPr id="2028680" name="Option Button 136" hidden="1">
              <a:extLst>
                <a:ext uri="{63B3BB69-23CF-44E3-9099-C40C66FF867C}">
                  <a14:compatExt spid="_x0000_s2028680"/>
                </a:ext>
                <a:ext uri="{FF2B5EF4-FFF2-40B4-BE49-F238E27FC236}">
                  <a16:creationId xmlns:a16="http://schemas.microsoft.com/office/drawing/2014/main" xmlns="" id="{00000000-0008-0000-0400-000088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110</xdr:row>
          <xdr:rowOff>85725</xdr:rowOff>
        </xdr:from>
        <xdr:to>
          <xdr:col>5</xdr:col>
          <xdr:colOff>828675</xdr:colOff>
          <xdr:row>110</xdr:row>
          <xdr:rowOff>304800</xdr:rowOff>
        </xdr:to>
        <xdr:sp macro="" textlink="">
          <xdr:nvSpPr>
            <xdr:cNvPr id="2028681" name="Option Button 137" hidden="1">
              <a:extLst>
                <a:ext uri="{63B3BB69-23CF-44E3-9099-C40C66FF867C}">
                  <a14:compatExt spid="_x0000_s2028681"/>
                </a:ext>
                <a:ext uri="{FF2B5EF4-FFF2-40B4-BE49-F238E27FC236}">
                  <a16:creationId xmlns:a16="http://schemas.microsoft.com/office/drawing/2014/main" xmlns="" id="{00000000-0008-0000-0400-000089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110</xdr:row>
          <xdr:rowOff>85725</xdr:rowOff>
        </xdr:from>
        <xdr:to>
          <xdr:col>6</xdr:col>
          <xdr:colOff>733425</xdr:colOff>
          <xdr:row>110</xdr:row>
          <xdr:rowOff>304800</xdr:rowOff>
        </xdr:to>
        <xdr:sp macro="" textlink="">
          <xdr:nvSpPr>
            <xdr:cNvPr id="2028682" name="Option Button 138" hidden="1">
              <a:extLst>
                <a:ext uri="{63B3BB69-23CF-44E3-9099-C40C66FF867C}">
                  <a14:compatExt spid="_x0000_s2028682"/>
                </a:ext>
                <a:ext uri="{FF2B5EF4-FFF2-40B4-BE49-F238E27FC236}">
                  <a16:creationId xmlns:a16="http://schemas.microsoft.com/office/drawing/2014/main" xmlns="" id="{00000000-0008-0000-0400-00008A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112</xdr:row>
          <xdr:rowOff>104775</xdr:rowOff>
        </xdr:from>
        <xdr:to>
          <xdr:col>5</xdr:col>
          <xdr:colOff>809625</xdr:colOff>
          <xdr:row>112</xdr:row>
          <xdr:rowOff>333375</xdr:rowOff>
        </xdr:to>
        <xdr:sp macro="" textlink="">
          <xdr:nvSpPr>
            <xdr:cNvPr id="2028683" name="Option Button 139" hidden="1">
              <a:extLst>
                <a:ext uri="{63B3BB69-23CF-44E3-9099-C40C66FF867C}">
                  <a14:compatExt spid="_x0000_s2028683"/>
                </a:ext>
                <a:ext uri="{FF2B5EF4-FFF2-40B4-BE49-F238E27FC236}">
                  <a16:creationId xmlns:a16="http://schemas.microsoft.com/office/drawing/2014/main" xmlns="" id="{00000000-0008-0000-0400-00008B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112</xdr:row>
          <xdr:rowOff>104775</xdr:rowOff>
        </xdr:from>
        <xdr:to>
          <xdr:col>6</xdr:col>
          <xdr:colOff>733425</xdr:colOff>
          <xdr:row>112</xdr:row>
          <xdr:rowOff>333375</xdr:rowOff>
        </xdr:to>
        <xdr:sp macro="" textlink="">
          <xdr:nvSpPr>
            <xdr:cNvPr id="2028684" name="Option Button 140" hidden="1">
              <a:extLst>
                <a:ext uri="{63B3BB69-23CF-44E3-9099-C40C66FF867C}">
                  <a14:compatExt spid="_x0000_s2028684"/>
                </a:ext>
                <a:ext uri="{FF2B5EF4-FFF2-40B4-BE49-F238E27FC236}">
                  <a16:creationId xmlns:a16="http://schemas.microsoft.com/office/drawing/2014/main" xmlns="" id="{00000000-0008-0000-0400-00008C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114</xdr:row>
          <xdr:rowOff>85725</xdr:rowOff>
        </xdr:from>
        <xdr:to>
          <xdr:col>5</xdr:col>
          <xdr:colOff>809625</xdr:colOff>
          <xdr:row>114</xdr:row>
          <xdr:rowOff>304800</xdr:rowOff>
        </xdr:to>
        <xdr:sp macro="" textlink="">
          <xdr:nvSpPr>
            <xdr:cNvPr id="2028685" name="Option Button 141" hidden="1">
              <a:extLst>
                <a:ext uri="{63B3BB69-23CF-44E3-9099-C40C66FF867C}">
                  <a14:compatExt spid="_x0000_s2028685"/>
                </a:ext>
                <a:ext uri="{FF2B5EF4-FFF2-40B4-BE49-F238E27FC236}">
                  <a16:creationId xmlns:a16="http://schemas.microsoft.com/office/drawing/2014/main" xmlns="" id="{00000000-0008-0000-0400-00008D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114</xdr:row>
          <xdr:rowOff>104775</xdr:rowOff>
        </xdr:from>
        <xdr:to>
          <xdr:col>6</xdr:col>
          <xdr:colOff>733425</xdr:colOff>
          <xdr:row>114</xdr:row>
          <xdr:rowOff>333375</xdr:rowOff>
        </xdr:to>
        <xdr:sp macro="" textlink="">
          <xdr:nvSpPr>
            <xdr:cNvPr id="2028686" name="Option Button 142" hidden="1">
              <a:extLst>
                <a:ext uri="{63B3BB69-23CF-44E3-9099-C40C66FF867C}">
                  <a14:compatExt spid="_x0000_s2028686"/>
                </a:ext>
                <a:ext uri="{FF2B5EF4-FFF2-40B4-BE49-F238E27FC236}">
                  <a16:creationId xmlns:a16="http://schemas.microsoft.com/office/drawing/2014/main" xmlns="" id="{00000000-0008-0000-0400-00008E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116</xdr:row>
          <xdr:rowOff>85725</xdr:rowOff>
        </xdr:from>
        <xdr:to>
          <xdr:col>5</xdr:col>
          <xdr:colOff>809625</xdr:colOff>
          <xdr:row>116</xdr:row>
          <xdr:rowOff>304800</xdr:rowOff>
        </xdr:to>
        <xdr:sp macro="" textlink="">
          <xdr:nvSpPr>
            <xdr:cNvPr id="2028687" name="Option Button 143" hidden="1">
              <a:extLst>
                <a:ext uri="{63B3BB69-23CF-44E3-9099-C40C66FF867C}">
                  <a14:compatExt spid="_x0000_s2028687"/>
                </a:ext>
                <a:ext uri="{FF2B5EF4-FFF2-40B4-BE49-F238E27FC236}">
                  <a16:creationId xmlns:a16="http://schemas.microsoft.com/office/drawing/2014/main" xmlns="" id="{00000000-0008-0000-0400-00008F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116</xdr:row>
          <xdr:rowOff>104775</xdr:rowOff>
        </xdr:from>
        <xdr:to>
          <xdr:col>6</xdr:col>
          <xdr:colOff>733425</xdr:colOff>
          <xdr:row>116</xdr:row>
          <xdr:rowOff>333375</xdr:rowOff>
        </xdr:to>
        <xdr:sp macro="" textlink="">
          <xdr:nvSpPr>
            <xdr:cNvPr id="2028688" name="Option Button 144" hidden="1">
              <a:extLst>
                <a:ext uri="{63B3BB69-23CF-44E3-9099-C40C66FF867C}">
                  <a14:compatExt spid="_x0000_s2028688"/>
                </a:ext>
                <a:ext uri="{FF2B5EF4-FFF2-40B4-BE49-F238E27FC236}">
                  <a16:creationId xmlns:a16="http://schemas.microsoft.com/office/drawing/2014/main" xmlns="" id="{00000000-0008-0000-0400-000090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118</xdr:row>
          <xdr:rowOff>76200</xdr:rowOff>
        </xdr:from>
        <xdr:to>
          <xdr:col>5</xdr:col>
          <xdr:colOff>809625</xdr:colOff>
          <xdr:row>118</xdr:row>
          <xdr:rowOff>295275</xdr:rowOff>
        </xdr:to>
        <xdr:sp macro="" textlink="">
          <xdr:nvSpPr>
            <xdr:cNvPr id="2028689" name="Option Button 145" hidden="1">
              <a:extLst>
                <a:ext uri="{63B3BB69-23CF-44E3-9099-C40C66FF867C}">
                  <a14:compatExt spid="_x0000_s2028689"/>
                </a:ext>
                <a:ext uri="{FF2B5EF4-FFF2-40B4-BE49-F238E27FC236}">
                  <a16:creationId xmlns:a16="http://schemas.microsoft.com/office/drawing/2014/main" xmlns="" id="{00000000-0008-0000-0400-000091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466725</xdr:colOff>
          <xdr:row>118</xdr:row>
          <xdr:rowOff>85725</xdr:rowOff>
        </xdr:from>
        <xdr:to>
          <xdr:col>6</xdr:col>
          <xdr:colOff>752475</xdr:colOff>
          <xdr:row>118</xdr:row>
          <xdr:rowOff>304800</xdr:rowOff>
        </xdr:to>
        <xdr:sp macro="" textlink="">
          <xdr:nvSpPr>
            <xdr:cNvPr id="2028690" name="Option Button 146" hidden="1">
              <a:extLst>
                <a:ext uri="{63B3BB69-23CF-44E3-9099-C40C66FF867C}">
                  <a14:compatExt spid="_x0000_s2028690"/>
                </a:ext>
                <a:ext uri="{FF2B5EF4-FFF2-40B4-BE49-F238E27FC236}">
                  <a16:creationId xmlns:a16="http://schemas.microsoft.com/office/drawing/2014/main" xmlns="" id="{00000000-0008-0000-0400-000092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120</xdr:row>
          <xdr:rowOff>104775</xdr:rowOff>
        </xdr:from>
        <xdr:to>
          <xdr:col>5</xdr:col>
          <xdr:colOff>828675</xdr:colOff>
          <xdr:row>120</xdr:row>
          <xdr:rowOff>333375</xdr:rowOff>
        </xdr:to>
        <xdr:sp macro="" textlink="">
          <xdr:nvSpPr>
            <xdr:cNvPr id="2028691" name="Option Button 147" hidden="1">
              <a:extLst>
                <a:ext uri="{63B3BB69-23CF-44E3-9099-C40C66FF867C}">
                  <a14:compatExt spid="_x0000_s2028691"/>
                </a:ext>
                <a:ext uri="{FF2B5EF4-FFF2-40B4-BE49-F238E27FC236}">
                  <a16:creationId xmlns:a16="http://schemas.microsoft.com/office/drawing/2014/main" xmlns="" id="{00000000-0008-0000-0400-000093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120</xdr:row>
          <xdr:rowOff>85725</xdr:rowOff>
        </xdr:from>
        <xdr:to>
          <xdr:col>6</xdr:col>
          <xdr:colOff>733425</xdr:colOff>
          <xdr:row>120</xdr:row>
          <xdr:rowOff>304800</xdr:rowOff>
        </xdr:to>
        <xdr:sp macro="" textlink="">
          <xdr:nvSpPr>
            <xdr:cNvPr id="2028692" name="Option Button 148" hidden="1">
              <a:extLst>
                <a:ext uri="{63B3BB69-23CF-44E3-9099-C40C66FF867C}">
                  <a14:compatExt spid="_x0000_s2028692"/>
                </a:ext>
                <a:ext uri="{FF2B5EF4-FFF2-40B4-BE49-F238E27FC236}">
                  <a16:creationId xmlns:a16="http://schemas.microsoft.com/office/drawing/2014/main" xmlns="" id="{00000000-0008-0000-0400-000094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122</xdr:row>
          <xdr:rowOff>85725</xdr:rowOff>
        </xdr:from>
        <xdr:to>
          <xdr:col>5</xdr:col>
          <xdr:colOff>828675</xdr:colOff>
          <xdr:row>122</xdr:row>
          <xdr:rowOff>304800</xdr:rowOff>
        </xdr:to>
        <xdr:sp macro="" textlink="">
          <xdr:nvSpPr>
            <xdr:cNvPr id="2028693" name="Option Button 149" hidden="1">
              <a:extLst>
                <a:ext uri="{63B3BB69-23CF-44E3-9099-C40C66FF867C}">
                  <a14:compatExt spid="_x0000_s2028693"/>
                </a:ext>
                <a:ext uri="{FF2B5EF4-FFF2-40B4-BE49-F238E27FC236}">
                  <a16:creationId xmlns:a16="http://schemas.microsoft.com/office/drawing/2014/main" xmlns="" id="{00000000-0008-0000-0400-000095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122</xdr:row>
          <xdr:rowOff>104775</xdr:rowOff>
        </xdr:from>
        <xdr:to>
          <xdr:col>6</xdr:col>
          <xdr:colOff>733425</xdr:colOff>
          <xdr:row>122</xdr:row>
          <xdr:rowOff>333375</xdr:rowOff>
        </xdr:to>
        <xdr:sp macro="" textlink="">
          <xdr:nvSpPr>
            <xdr:cNvPr id="2028694" name="Option Button 150" hidden="1">
              <a:extLst>
                <a:ext uri="{63B3BB69-23CF-44E3-9099-C40C66FF867C}">
                  <a14:compatExt spid="_x0000_s2028694"/>
                </a:ext>
                <a:ext uri="{FF2B5EF4-FFF2-40B4-BE49-F238E27FC236}">
                  <a16:creationId xmlns:a16="http://schemas.microsoft.com/office/drawing/2014/main" xmlns="" id="{00000000-0008-0000-0400-000096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124</xdr:row>
          <xdr:rowOff>114300</xdr:rowOff>
        </xdr:from>
        <xdr:to>
          <xdr:col>5</xdr:col>
          <xdr:colOff>828675</xdr:colOff>
          <xdr:row>124</xdr:row>
          <xdr:rowOff>333375</xdr:rowOff>
        </xdr:to>
        <xdr:sp macro="" textlink="">
          <xdr:nvSpPr>
            <xdr:cNvPr id="2028695" name="Option Button 151" hidden="1">
              <a:extLst>
                <a:ext uri="{63B3BB69-23CF-44E3-9099-C40C66FF867C}">
                  <a14:compatExt spid="_x0000_s2028695"/>
                </a:ext>
                <a:ext uri="{FF2B5EF4-FFF2-40B4-BE49-F238E27FC236}">
                  <a16:creationId xmlns:a16="http://schemas.microsoft.com/office/drawing/2014/main" xmlns="" id="{00000000-0008-0000-0400-000097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466725</xdr:colOff>
          <xdr:row>124</xdr:row>
          <xdr:rowOff>85725</xdr:rowOff>
        </xdr:from>
        <xdr:to>
          <xdr:col>6</xdr:col>
          <xdr:colOff>752475</xdr:colOff>
          <xdr:row>124</xdr:row>
          <xdr:rowOff>304800</xdr:rowOff>
        </xdr:to>
        <xdr:sp macro="" textlink="">
          <xdr:nvSpPr>
            <xdr:cNvPr id="2028696" name="Option Button 152" hidden="1">
              <a:extLst>
                <a:ext uri="{63B3BB69-23CF-44E3-9099-C40C66FF867C}">
                  <a14:compatExt spid="_x0000_s2028696"/>
                </a:ext>
                <a:ext uri="{FF2B5EF4-FFF2-40B4-BE49-F238E27FC236}">
                  <a16:creationId xmlns:a16="http://schemas.microsoft.com/office/drawing/2014/main" xmlns="" id="{00000000-0008-0000-0400-000098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126</xdr:row>
          <xdr:rowOff>114300</xdr:rowOff>
        </xdr:from>
        <xdr:to>
          <xdr:col>5</xdr:col>
          <xdr:colOff>809625</xdr:colOff>
          <xdr:row>126</xdr:row>
          <xdr:rowOff>333375</xdr:rowOff>
        </xdr:to>
        <xdr:sp macro="" textlink="">
          <xdr:nvSpPr>
            <xdr:cNvPr id="2028697" name="Option Button 153" hidden="1">
              <a:extLst>
                <a:ext uri="{63B3BB69-23CF-44E3-9099-C40C66FF867C}">
                  <a14:compatExt spid="_x0000_s2028697"/>
                </a:ext>
                <a:ext uri="{FF2B5EF4-FFF2-40B4-BE49-F238E27FC236}">
                  <a16:creationId xmlns:a16="http://schemas.microsoft.com/office/drawing/2014/main" xmlns="" id="{00000000-0008-0000-0400-000099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126</xdr:row>
          <xdr:rowOff>142875</xdr:rowOff>
        </xdr:from>
        <xdr:to>
          <xdr:col>6</xdr:col>
          <xdr:colOff>733425</xdr:colOff>
          <xdr:row>126</xdr:row>
          <xdr:rowOff>371475</xdr:rowOff>
        </xdr:to>
        <xdr:sp macro="" textlink="">
          <xdr:nvSpPr>
            <xdr:cNvPr id="2028698" name="Option Button 154" hidden="1">
              <a:extLst>
                <a:ext uri="{63B3BB69-23CF-44E3-9099-C40C66FF867C}">
                  <a14:compatExt spid="_x0000_s2028698"/>
                </a:ext>
                <a:ext uri="{FF2B5EF4-FFF2-40B4-BE49-F238E27FC236}">
                  <a16:creationId xmlns:a16="http://schemas.microsoft.com/office/drawing/2014/main" xmlns="" id="{00000000-0008-0000-0400-00009A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128</xdr:row>
          <xdr:rowOff>104775</xdr:rowOff>
        </xdr:from>
        <xdr:to>
          <xdr:col>5</xdr:col>
          <xdr:colOff>828675</xdr:colOff>
          <xdr:row>128</xdr:row>
          <xdr:rowOff>333375</xdr:rowOff>
        </xdr:to>
        <xdr:sp macro="" textlink="">
          <xdr:nvSpPr>
            <xdr:cNvPr id="2028699" name="Option Button 155" hidden="1">
              <a:extLst>
                <a:ext uri="{63B3BB69-23CF-44E3-9099-C40C66FF867C}">
                  <a14:compatExt spid="_x0000_s2028699"/>
                </a:ext>
                <a:ext uri="{FF2B5EF4-FFF2-40B4-BE49-F238E27FC236}">
                  <a16:creationId xmlns:a16="http://schemas.microsoft.com/office/drawing/2014/main" xmlns="" id="{00000000-0008-0000-0400-00009B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466725</xdr:colOff>
          <xdr:row>128</xdr:row>
          <xdr:rowOff>104775</xdr:rowOff>
        </xdr:from>
        <xdr:to>
          <xdr:col>6</xdr:col>
          <xdr:colOff>752475</xdr:colOff>
          <xdr:row>128</xdr:row>
          <xdr:rowOff>333375</xdr:rowOff>
        </xdr:to>
        <xdr:sp macro="" textlink="">
          <xdr:nvSpPr>
            <xdr:cNvPr id="2028700" name="Option Button 156" hidden="1">
              <a:extLst>
                <a:ext uri="{63B3BB69-23CF-44E3-9099-C40C66FF867C}">
                  <a14:compatExt spid="_x0000_s2028700"/>
                </a:ext>
                <a:ext uri="{FF2B5EF4-FFF2-40B4-BE49-F238E27FC236}">
                  <a16:creationId xmlns:a16="http://schemas.microsoft.com/office/drawing/2014/main" xmlns="" id="{00000000-0008-0000-0400-00009C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542925</xdr:colOff>
          <xdr:row>134</xdr:row>
          <xdr:rowOff>104775</xdr:rowOff>
        </xdr:from>
        <xdr:to>
          <xdr:col>5</xdr:col>
          <xdr:colOff>828675</xdr:colOff>
          <xdr:row>134</xdr:row>
          <xdr:rowOff>333375</xdr:rowOff>
        </xdr:to>
        <xdr:sp macro="" textlink="">
          <xdr:nvSpPr>
            <xdr:cNvPr id="2028701" name="Option Button 157" hidden="1">
              <a:extLst>
                <a:ext uri="{63B3BB69-23CF-44E3-9099-C40C66FF867C}">
                  <a14:compatExt spid="_x0000_s2028701"/>
                </a:ext>
                <a:ext uri="{FF2B5EF4-FFF2-40B4-BE49-F238E27FC236}">
                  <a16:creationId xmlns:a16="http://schemas.microsoft.com/office/drawing/2014/main" xmlns="" id="{00000000-0008-0000-0400-00009D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466725</xdr:colOff>
          <xdr:row>134</xdr:row>
          <xdr:rowOff>104775</xdr:rowOff>
        </xdr:from>
        <xdr:to>
          <xdr:col>6</xdr:col>
          <xdr:colOff>752475</xdr:colOff>
          <xdr:row>134</xdr:row>
          <xdr:rowOff>333375</xdr:rowOff>
        </xdr:to>
        <xdr:sp macro="" textlink="">
          <xdr:nvSpPr>
            <xdr:cNvPr id="2028702" name="Option Button 158" hidden="1">
              <a:extLst>
                <a:ext uri="{63B3BB69-23CF-44E3-9099-C40C66FF867C}">
                  <a14:compatExt spid="_x0000_s2028702"/>
                </a:ext>
                <a:ext uri="{FF2B5EF4-FFF2-40B4-BE49-F238E27FC236}">
                  <a16:creationId xmlns:a16="http://schemas.microsoft.com/office/drawing/2014/main" xmlns="" id="{00000000-0008-0000-0400-00009E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140</xdr:row>
          <xdr:rowOff>85725</xdr:rowOff>
        </xdr:from>
        <xdr:to>
          <xdr:col>5</xdr:col>
          <xdr:colOff>809625</xdr:colOff>
          <xdr:row>140</xdr:row>
          <xdr:rowOff>304800</xdr:rowOff>
        </xdr:to>
        <xdr:sp macro="" textlink="">
          <xdr:nvSpPr>
            <xdr:cNvPr id="2028703" name="Option Button 159" hidden="1">
              <a:extLst>
                <a:ext uri="{63B3BB69-23CF-44E3-9099-C40C66FF867C}">
                  <a14:compatExt spid="_x0000_s2028703"/>
                </a:ext>
                <a:ext uri="{FF2B5EF4-FFF2-40B4-BE49-F238E27FC236}">
                  <a16:creationId xmlns:a16="http://schemas.microsoft.com/office/drawing/2014/main" xmlns="" id="{00000000-0008-0000-0400-00009F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140</xdr:row>
          <xdr:rowOff>85725</xdr:rowOff>
        </xdr:from>
        <xdr:to>
          <xdr:col>6</xdr:col>
          <xdr:colOff>714375</xdr:colOff>
          <xdr:row>140</xdr:row>
          <xdr:rowOff>304800</xdr:rowOff>
        </xdr:to>
        <xdr:sp macro="" textlink="">
          <xdr:nvSpPr>
            <xdr:cNvPr id="2028704" name="Option Button 160" hidden="1">
              <a:extLst>
                <a:ext uri="{63B3BB69-23CF-44E3-9099-C40C66FF867C}">
                  <a14:compatExt spid="_x0000_s2028704"/>
                </a:ext>
                <a:ext uri="{FF2B5EF4-FFF2-40B4-BE49-F238E27FC236}">
                  <a16:creationId xmlns:a16="http://schemas.microsoft.com/office/drawing/2014/main" xmlns="" id="{00000000-0008-0000-0400-0000A0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142</xdr:row>
          <xdr:rowOff>104775</xdr:rowOff>
        </xdr:from>
        <xdr:to>
          <xdr:col>5</xdr:col>
          <xdr:colOff>847725</xdr:colOff>
          <xdr:row>142</xdr:row>
          <xdr:rowOff>333375</xdr:rowOff>
        </xdr:to>
        <xdr:sp macro="" textlink="">
          <xdr:nvSpPr>
            <xdr:cNvPr id="2028705" name="Option Button 161" hidden="1">
              <a:extLst>
                <a:ext uri="{63B3BB69-23CF-44E3-9099-C40C66FF867C}">
                  <a14:compatExt spid="_x0000_s2028705"/>
                </a:ext>
                <a:ext uri="{FF2B5EF4-FFF2-40B4-BE49-F238E27FC236}">
                  <a16:creationId xmlns:a16="http://schemas.microsoft.com/office/drawing/2014/main" xmlns="" id="{00000000-0008-0000-0400-0000A1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142</xdr:row>
          <xdr:rowOff>85725</xdr:rowOff>
        </xdr:from>
        <xdr:to>
          <xdr:col>6</xdr:col>
          <xdr:colOff>714375</xdr:colOff>
          <xdr:row>142</xdr:row>
          <xdr:rowOff>304800</xdr:rowOff>
        </xdr:to>
        <xdr:sp macro="" textlink="">
          <xdr:nvSpPr>
            <xdr:cNvPr id="2028706" name="Option Button 162" hidden="1">
              <a:extLst>
                <a:ext uri="{63B3BB69-23CF-44E3-9099-C40C66FF867C}">
                  <a14:compatExt spid="_x0000_s2028706"/>
                </a:ext>
                <a:ext uri="{FF2B5EF4-FFF2-40B4-BE49-F238E27FC236}">
                  <a16:creationId xmlns:a16="http://schemas.microsoft.com/office/drawing/2014/main" xmlns="" id="{00000000-0008-0000-0400-0000A2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600075</xdr:colOff>
          <xdr:row>144</xdr:row>
          <xdr:rowOff>85725</xdr:rowOff>
        </xdr:from>
        <xdr:to>
          <xdr:col>5</xdr:col>
          <xdr:colOff>876300</xdr:colOff>
          <xdr:row>144</xdr:row>
          <xdr:rowOff>304800</xdr:rowOff>
        </xdr:to>
        <xdr:sp macro="" textlink="">
          <xdr:nvSpPr>
            <xdr:cNvPr id="2028707" name="Option Button 163" hidden="1">
              <a:extLst>
                <a:ext uri="{63B3BB69-23CF-44E3-9099-C40C66FF867C}">
                  <a14:compatExt spid="_x0000_s2028707"/>
                </a:ext>
                <a:ext uri="{FF2B5EF4-FFF2-40B4-BE49-F238E27FC236}">
                  <a16:creationId xmlns:a16="http://schemas.microsoft.com/office/drawing/2014/main" xmlns="" id="{00000000-0008-0000-0400-0000A3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466725</xdr:colOff>
          <xdr:row>144</xdr:row>
          <xdr:rowOff>85725</xdr:rowOff>
        </xdr:from>
        <xdr:to>
          <xdr:col>6</xdr:col>
          <xdr:colOff>752475</xdr:colOff>
          <xdr:row>144</xdr:row>
          <xdr:rowOff>304800</xdr:rowOff>
        </xdr:to>
        <xdr:sp macro="" textlink="">
          <xdr:nvSpPr>
            <xdr:cNvPr id="2028708" name="Option Button 164" hidden="1">
              <a:extLst>
                <a:ext uri="{63B3BB69-23CF-44E3-9099-C40C66FF867C}">
                  <a14:compatExt spid="_x0000_s2028708"/>
                </a:ext>
                <a:ext uri="{FF2B5EF4-FFF2-40B4-BE49-F238E27FC236}">
                  <a16:creationId xmlns:a16="http://schemas.microsoft.com/office/drawing/2014/main" xmlns="" id="{00000000-0008-0000-0400-0000A4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146</xdr:row>
          <xdr:rowOff>85725</xdr:rowOff>
        </xdr:from>
        <xdr:to>
          <xdr:col>5</xdr:col>
          <xdr:colOff>847725</xdr:colOff>
          <xdr:row>146</xdr:row>
          <xdr:rowOff>304800</xdr:rowOff>
        </xdr:to>
        <xdr:sp macro="" textlink="">
          <xdr:nvSpPr>
            <xdr:cNvPr id="2028709" name="Option Button 165" hidden="1">
              <a:extLst>
                <a:ext uri="{63B3BB69-23CF-44E3-9099-C40C66FF867C}">
                  <a14:compatExt spid="_x0000_s2028709"/>
                </a:ext>
                <a:ext uri="{FF2B5EF4-FFF2-40B4-BE49-F238E27FC236}">
                  <a16:creationId xmlns:a16="http://schemas.microsoft.com/office/drawing/2014/main" xmlns="" id="{00000000-0008-0000-0400-0000A5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466725</xdr:colOff>
          <xdr:row>146</xdr:row>
          <xdr:rowOff>76200</xdr:rowOff>
        </xdr:from>
        <xdr:to>
          <xdr:col>6</xdr:col>
          <xdr:colOff>752475</xdr:colOff>
          <xdr:row>146</xdr:row>
          <xdr:rowOff>295275</xdr:rowOff>
        </xdr:to>
        <xdr:sp macro="" textlink="">
          <xdr:nvSpPr>
            <xdr:cNvPr id="2028710" name="Option Button 166" hidden="1">
              <a:extLst>
                <a:ext uri="{63B3BB69-23CF-44E3-9099-C40C66FF867C}">
                  <a14:compatExt spid="_x0000_s2028710"/>
                </a:ext>
                <a:ext uri="{FF2B5EF4-FFF2-40B4-BE49-F238E27FC236}">
                  <a16:creationId xmlns:a16="http://schemas.microsoft.com/office/drawing/2014/main" xmlns="" id="{00000000-0008-0000-0400-0000A6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148</xdr:row>
          <xdr:rowOff>104775</xdr:rowOff>
        </xdr:from>
        <xdr:to>
          <xdr:col>5</xdr:col>
          <xdr:colOff>847725</xdr:colOff>
          <xdr:row>148</xdr:row>
          <xdr:rowOff>333375</xdr:rowOff>
        </xdr:to>
        <xdr:sp macro="" textlink="">
          <xdr:nvSpPr>
            <xdr:cNvPr id="2028711" name="Option Button 167" hidden="1">
              <a:extLst>
                <a:ext uri="{63B3BB69-23CF-44E3-9099-C40C66FF867C}">
                  <a14:compatExt spid="_x0000_s2028711"/>
                </a:ext>
                <a:ext uri="{FF2B5EF4-FFF2-40B4-BE49-F238E27FC236}">
                  <a16:creationId xmlns:a16="http://schemas.microsoft.com/office/drawing/2014/main" xmlns="" id="{00000000-0008-0000-0400-0000A7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148</xdr:row>
          <xdr:rowOff>104775</xdr:rowOff>
        </xdr:from>
        <xdr:to>
          <xdr:col>6</xdr:col>
          <xdr:colOff>771525</xdr:colOff>
          <xdr:row>148</xdr:row>
          <xdr:rowOff>333375</xdr:rowOff>
        </xdr:to>
        <xdr:sp macro="" textlink="">
          <xdr:nvSpPr>
            <xdr:cNvPr id="2028712" name="Option Button 168" hidden="1">
              <a:extLst>
                <a:ext uri="{63B3BB69-23CF-44E3-9099-C40C66FF867C}">
                  <a14:compatExt spid="_x0000_s2028712"/>
                </a:ext>
                <a:ext uri="{FF2B5EF4-FFF2-40B4-BE49-F238E27FC236}">
                  <a16:creationId xmlns:a16="http://schemas.microsoft.com/office/drawing/2014/main" xmlns="" id="{00000000-0008-0000-0400-0000A8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150</xdr:row>
          <xdr:rowOff>104775</xdr:rowOff>
        </xdr:from>
        <xdr:to>
          <xdr:col>5</xdr:col>
          <xdr:colOff>838200</xdr:colOff>
          <xdr:row>150</xdr:row>
          <xdr:rowOff>333375</xdr:rowOff>
        </xdr:to>
        <xdr:sp macro="" textlink="">
          <xdr:nvSpPr>
            <xdr:cNvPr id="2028713" name="Option Button 169" hidden="1">
              <a:extLst>
                <a:ext uri="{63B3BB69-23CF-44E3-9099-C40C66FF867C}">
                  <a14:compatExt spid="_x0000_s2028713"/>
                </a:ext>
                <a:ext uri="{FF2B5EF4-FFF2-40B4-BE49-F238E27FC236}">
                  <a16:creationId xmlns:a16="http://schemas.microsoft.com/office/drawing/2014/main" xmlns="" id="{00000000-0008-0000-0400-0000A9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466725</xdr:colOff>
          <xdr:row>150</xdr:row>
          <xdr:rowOff>104775</xdr:rowOff>
        </xdr:from>
        <xdr:to>
          <xdr:col>6</xdr:col>
          <xdr:colOff>752475</xdr:colOff>
          <xdr:row>150</xdr:row>
          <xdr:rowOff>333375</xdr:rowOff>
        </xdr:to>
        <xdr:sp macro="" textlink="">
          <xdr:nvSpPr>
            <xdr:cNvPr id="2028714" name="Option Button 170" hidden="1">
              <a:extLst>
                <a:ext uri="{63B3BB69-23CF-44E3-9099-C40C66FF867C}">
                  <a14:compatExt spid="_x0000_s2028714"/>
                </a:ext>
                <a:ext uri="{FF2B5EF4-FFF2-40B4-BE49-F238E27FC236}">
                  <a16:creationId xmlns:a16="http://schemas.microsoft.com/office/drawing/2014/main" xmlns="" id="{00000000-0008-0000-0400-0000AA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152</xdr:row>
          <xdr:rowOff>104775</xdr:rowOff>
        </xdr:from>
        <xdr:to>
          <xdr:col>5</xdr:col>
          <xdr:colOff>847725</xdr:colOff>
          <xdr:row>152</xdr:row>
          <xdr:rowOff>333375</xdr:rowOff>
        </xdr:to>
        <xdr:sp macro="" textlink="">
          <xdr:nvSpPr>
            <xdr:cNvPr id="2028715" name="Option Button 171" hidden="1">
              <a:extLst>
                <a:ext uri="{63B3BB69-23CF-44E3-9099-C40C66FF867C}">
                  <a14:compatExt spid="_x0000_s2028715"/>
                </a:ext>
                <a:ext uri="{FF2B5EF4-FFF2-40B4-BE49-F238E27FC236}">
                  <a16:creationId xmlns:a16="http://schemas.microsoft.com/office/drawing/2014/main" xmlns="" id="{00000000-0008-0000-0400-0000AB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152</xdr:row>
          <xdr:rowOff>104775</xdr:rowOff>
        </xdr:from>
        <xdr:to>
          <xdr:col>6</xdr:col>
          <xdr:colOff>733425</xdr:colOff>
          <xdr:row>152</xdr:row>
          <xdr:rowOff>333375</xdr:rowOff>
        </xdr:to>
        <xdr:sp macro="" textlink="">
          <xdr:nvSpPr>
            <xdr:cNvPr id="2028716" name="Option Button 172" hidden="1">
              <a:extLst>
                <a:ext uri="{63B3BB69-23CF-44E3-9099-C40C66FF867C}">
                  <a14:compatExt spid="_x0000_s2028716"/>
                </a:ext>
                <a:ext uri="{FF2B5EF4-FFF2-40B4-BE49-F238E27FC236}">
                  <a16:creationId xmlns:a16="http://schemas.microsoft.com/office/drawing/2014/main" xmlns="" id="{00000000-0008-0000-0400-0000AC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154</xdr:row>
          <xdr:rowOff>104775</xdr:rowOff>
        </xdr:from>
        <xdr:to>
          <xdr:col>5</xdr:col>
          <xdr:colOff>838200</xdr:colOff>
          <xdr:row>154</xdr:row>
          <xdr:rowOff>333375</xdr:rowOff>
        </xdr:to>
        <xdr:sp macro="" textlink="">
          <xdr:nvSpPr>
            <xdr:cNvPr id="2028717" name="Option Button 173" hidden="1">
              <a:extLst>
                <a:ext uri="{63B3BB69-23CF-44E3-9099-C40C66FF867C}">
                  <a14:compatExt spid="_x0000_s2028717"/>
                </a:ext>
                <a:ext uri="{FF2B5EF4-FFF2-40B4-BE49-F238E27FC236}">
                  <a16:creationId xmlns:a16="http://schemas.microsoft.com/office/drawing/2014/main" xmlns="" id="{00000000-0008-0000-0400-0000AD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466725</xdr:colOff>
          <xdr:row>154</xdr:row>
          <xdr:rowOff>104775</xdr:rowOff>
        </xdr:from>
        <xdr:to>
          <xdr:col>6</xdr:col>
          <xdr:colOff>752475</xdr:colOff>
          <xdr:row>154</xdr:row>
          <xdr:rowOff>333375</xdr:rowOff>
        </xdr:to>
        <xdr:sp macro="" textlink="">
          <xdr:nvSpPr>
            <xdr:cNvPr id="2028718" name="Option Button 174" hidden="1">
              <a:extLst>
                <a:ext uri="{63B3BB69-23CF-44E3-9099-C40C66FF867C}">
                  <a14:compatExt spid="_x0000_s2028718"/>
                </a:ext>
                <a:ext uri="{FF2B5EF4-FFF2-40B4-BE49-F238E27FC236}">
                  <a16:creationId xmlns:a16="http://schemas.microsoft.com/office/drawing/2014/main" xmlns="" id="{00000000-0008-0000-0400-0000AE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156</xdr:row>
          <xdr:rowOff>104775</xdr:rowOff>
        </xdr:from>
        <xdr:to>
          <xdr:col>5</xdr:col>
          <xdr:colOff>866775</xdr:colOff>
          <xdr:row>156</xdr:row>
          <xdr:rowOff>333375</xdr:rowOff>
        </xdr:to>
        <xdr:sp macro="" textlink="">
          <xdr:nvSpPr>
            <xdr:cNvPr id="2028719" name="Option Button 175" hidden="1">
              <a:extLst>
                <a:ext uri="{63B3BB69-23CF-44E3-9099-C40C66FF867C}">
                  <a14:compatExt spid="_x0000_s2028719"/>
                </a:ext>
                <a:ext uri="{FF2B5EF4-FFF2-40B4-BE49-F238E27FC236}">
                  <a16:creationId xmlns:a16="http://schemas.microsoft.com/office/drawing/2014/main" xmlns="" id="{00000000-0008-0000-0400-0000AF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466725</xdr:colOff>
          <xdr:row>156</xdr:row>
          <xdr:rowOff>85725</xdr:rowOff>
        </xdr:from>
        <xdr:to>
          <xdr:col>6</xdr:col>
          <xdr:colOff>752475</xdr:colOff>
          <xdr:row>156</xdr:row>
          <xdr:rowOff>304800</xdr:rowOff>
        </xdr:to>
        <xdr:sp macro="" textlink="">
          <xdr:nvSpPr>
            <xdr:cNvPr id="2028720" name="Option Button 176" hidden="1">
              <a:extLst>
                <a:ext uri="{63B3BB69-23CF-44E3-9099-C40C66FF867C}">
                  <a14:compatExt spid="_x0000_s2028720"/>
                </a:ext>
                <a:ext uri="{FF2B5EF4-FFF2-40B4-BE49-F238E27FC236}">
                  <a16:creationId xmlns:a16="http://schemas.microsoft.com/office/drawing/2014/main" xmlns="" id="{00000000-0008-0000-0400-0000B0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600075</xdr:colOff>
          <xdr:row>158</xdr:row>
          <xdr:rowOff>114300</xdr:rowOff>
        </xdr:from>
        <xdr:to>
          <xdr:col>5</xdr:col>
          <xdr:colOff>876300</xdr:colOff>
          <xdr:row>158</xdr:row>
          <xdr:rowOff>333375</xdr:rowOff>
        </xdr:to>
        <xdr:sp macro="" textlink="">
          <xdr:nvSpPr>
            <xdr:cNvPr id="2028721" name="Option Button 177" hidden="1">
              <a:extLst>
                <a:ext uri="{63B3BB69-23CF-44E3-9099-C40C66FF867C}">
                  <a14:compatExt spid="_x0000_s2028721"/>
                </a:ext>
                <a:ext uri="{FF2B5EF4-FFF2-40B4-BE49-F238E27FC236}">
                  <a16:creationId xmlns:a16="http://schemas.microsoft.com/office/drawing/2014/main" xmlns="" id="{00000000-0008-0000-0400-0000B1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158</xdr:row>
          <xdr:rowOff>104775</xdr:rowOff>
        </xdr:from>
        <xdr:to>
          <xdr:col>6</xdr:col>
          <xdr:colOff>771525</xdr:colOff>
          <xdr:row>158</xdr:row>
          <xdr:rowOff>333375</xdr:rowOff>
        </xdr:to>
        <xdr:sp macro="" textlink="">
          <xdr:nvSpPr>
            <xdr:cNvPr id="2028722" name="Option Button 178" hidden="1">
              <a:extLst>
                <a:ext uri="{63B3BB69-23CF-44E3-9099-C40C66FF867C}">
                  <a14:compatExt spid="_x0000_s2028722"/>
                </a:ext>
                <a:ext uri="{FF2B5EF4-FFF2-40B4-BE49-F238E27FC236}">
                  <a16:creationId xmlns:a16="http://schemas.microsoft.com/office/drawing/2014/main" xmlns="" id="{00000000-0008-0000-0400-0000B2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160</xdr:row>
          <xdr:rowOff>104775</xdr:rowOff>
        </xdr:from>
        <xdr:to>
          <xdr:col>5</xdr:col>
          <xdr:colOff>838200</xdr:colOff>
          <xdr:row>160</xdr:row>
          <xdr:rowOff>333375</xdr:rowOff>
        </xdr:to>
        <xdr:sp macro="" textlink="">
          <xdr:nvSpPr>
            <xdr:cNvPr id="2028723" name="Option Button 179" hidden="1">
              <a:extLst>
                <a:ext uri="{63B3BB69-23CF-44E3-9099-C40C66FF867C}">
                  <a14:compatExt spid="_x0000_s2028723"/>
                </a:ext>
                <a:ext uri="{FF2B5EF4-FFF2-40B4-BE49-F238E27FC236}">
                  <a16:creationId xmlns:a16="http://schemas.microsoft.com/office/drawing/2014/main" xmlns="" id="{00000000-0008-0000-0400-0000B3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160</xdr:row>
          <xdr:rowOff>114300</xdr:rowOff>
        </xdr:from>
        <xdr:to>
          <xdr:col>6</xdr:col>
          <xdr:colOff>771525</xdr:colOff>
          <xdr:row>160</xdr:row>
          <xdr:rowOff>333375</xdr:rowOff>
        </xdr:to>
        <xdr:sp macro="" textlink="">
          <xdr:nvSpPr>
            <xdr:cNvPr id="2028724" name="Option Button 180" hidden="1">
              <a:extLst>
                <a:ext uri="{63B3BB69-23CF-44E3-9099-C40C66FF867C}">
                  <a14:compatExt spid="_x0000_s2028724"/>
                </a:ext>
                <a:ext uri="{FF2B5EF4-FFF2-40B4-BE49-F238E27FC236}">
                  <a16:creationId xmlns:a16="http://schemas.microsoft.com/office/drawing/2014/main" xmlns="" id="{00000000-0008-0000-0400-0000B4F41E00}"/>
                </a:ext>
              </a:extLst>
            </xdr:cNvPr>
            <xdr:cNvSpPr/>
          </xdr:nvSpPr>
          <xdr:spPr bwMode="auto">
            <a:xfrm>
              <a:off x="0" y="0"/>
              <a:ext cx="0" cy="0"/>
            </a:xfrm>
            <a:prstGeom prst="rect">
              <a:avLst/>
            </a:prstGeom>
            <a:noFill/>
            <a:ln>
              <a:noFill/>
            </a:ln>
            <a:effectLst/>
            <a:extLst>
              <a:ext uri="{909E8E84-426E-40DD-AFC4-6F175D3DCCD1}">
                <a14:hiddenFill>
                  <a:blipFill dpi="0" rotWithShape="0">
                    <a:blip xmlns:r="http://schemas.openxmlformats.org/officeDocument/2006/relationships" r:embed="rId1"/>
                    <a:srcRect/>
                    <a:tile tx="0" ty="0" sx="100000" sy="100000" flip="none" algn="tl"/>
                  </a:blipFill>
                </a14:hiddenFill>
              </a:ext>
              <a:ext uri="{91240B29-F687-4F45-9708-019B960494DF}">
                <a14:hiddenLine w="9525">
                  <a:solidFill>
                    <a:srgbClr val="000000" mc:Ignorable="a14" a14:legacySpreadsheetColorIndex="64"/>
                  </a:solidFill>
                  <a:miter lim="800000"/>
                  <a:headEnd/>
                  <a:tailEnd/>
                </a14:hiddenLine>
              </a:ext>
              <a:ext uri="{53640926-AAD7-44D8-BBD7-CCE9431645EC}">
                <a14:shadowObscured val="1"/>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5715</xdr:colOff>
      <xdr:row>1</xdr:row>
      <xdr:rowOff>27305</xdr:rowOff>
    </xdr:from>
    <xdr:to>
      <xdr:col>1</xdr:col>
      <xdr:colOff>549907</xdr:colOff>
      <xdr:row>1</xdr:row>
      <xdr:rowOff>271145</xdr:rowOff>
    </xdr:to>
    <xdr:sp macro="" textlink="">
      <xdr:nvSpPr>
        <xdr:cNvPr id="2057" name="Testo 9">
          <a:extLst>
            <a:ext uri="{FF2B5EF4-FFF2-40B4-BE49-F238E27FC236}">
              <a16:creationId xmlns:a16="http://schemas.microsoft.com/office/drawing/2014/main" xmlns="" id="{00000000-0008-0000-0500-000009080000}"/>
            </a:ext>
          </a:extLst>
        </xdr:cNvPr>
        <xdr:cNvSpPr txBox="1">
          <a:spLocks noChangeArrowheads="1"/>
        </xdr:cNvSpPr>
      </xdr:nvSpPr>
      <xdr:spPr bwMode="auto">
        <a:xfrm>
          <a:off x="9525" y="342900"/>
          <a:ext cx="6410325" cy="2476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 </a:t>
          </a:r>
          <a:r>
            <a:rPr lang="it-IT" sz="1200" b="0" i="0" strike="noStrike">
              <a:solidFill>
                <a:srgbClr val="000000"/>
              </a:solidFill>
              <a:latin typeface="Arial"/>
              <a:cs typeface="Arial"/>
            </a:rPr>
            <a:t>- </a:t>
          </a:r>
          <a:r>
            <a:rPr lang="it-IT" sz="1000" b="0" i="0" strike="noStrike">
              <a:solidFill>
                <a:srgbClr val="000000"/>
              </a:solidFill>
              <a:latin typeface="Arial"/>
              <a:cs typeface="Arial"/>
            </a:rPr>
            <a:t>Personale dipendente a tempo indeterminato e personale dirigente in servizio al 31 dicembre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xdr:row>
      <xdr:rowOff>31750</xdr:rowOff>
    </xdr:from>
    <xdr:to>
      <xdr:col>34</xdr:col>
      <xdr:colOff>2545</xdr:colOff>
      <xdr:row>1</xdr:row>
      <xdr:rowOff>291412</xdr:rowOff>
    </xdr:to>
    <xdr:sp macro="" textlink="">
      <xdr:nvSpPr>
        <xdr:cNvPr id="2" name="Testo 9">
          <a:extLst>
            <a:ext uri="{FF2B5EF4-FFF2-40B4-BE49-F238E27FC236}">
              <a16:creationId xmlns:a16="http://schemas.microsoft.com/office/drawing/2014/main" xmlns="" id="{00000000-0008-0000-0600-000002000000}"/>
            </a:ext>
          </a:extLst>
        </xdr:cNvPr>
        <xdr:cNvSpPr txBox="1">
          <a:spLocks noChangeArrowheads="1"/>
        </xdr:cNvSpPr>
      </xdr:nvSpPr>
      <xdr:spPr bwMode="auto">
        <a:xfrm>
          <a:off x="0" y="580390"/>
          <a:ext cx="5923285" cy="259662"/>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2 </a:t>
          </a:r>
          <a:r>
            <a:rPr lang="it-IT" sz="800" b="0" i="0" strike="noStrike">
              <a:solidFill>
                <a:srgbClr val="000000"/>
              </a:solidFill>
              <a:latin typeface="Arial"/>
              <a:cs typeface="Arial"/>
            </a:rPr>
            <a:t> -  </a:t>
          </a:r>
          <a:r>
            <a:rPr lang="it-IT" sz="1000" b="0" i="0" strike="noStrike">
              <a:solidFill>
                <a:srgbClr val="000000"/>
              </a:solidFill>
              <a:latin typeface="Arial"/>
              <a:cs typeface="Arial"/>
            </a:rPr>
            <a:t>Personale con contratto di lavoro flessibile </a:t>
          </a:r>
        </a:p>
      </xdr:txBody>
    </xdr:sp>
    <xdr:clientData/>
  </xdr:twoCellAnchor>
  <xdr:twoCellAnchor>
    <xdr:from>
      <xdr:col>0</xdr:col>
      <xdr:colOff>0</xdr:colOff>
      <xdr:row>16</xdr:row>
      <xdr:rowOff>31750</xdr:rowOff>
    </xdr:from>
    <xdr:to>
      <xdr:col>35</xdr:col>
      <xdr:colOff>569379</xdr:colOff>
      <xdr:row>16</xdr:row>
      <xdr:rowOff>291412</xdr:rowOff>
    </xdr:to>
    <xdr:sp macro="" textlink="">
      <xdr:nvSpPr>
        <xdr:cNvPr id="3" name="Testo 9">
          <a:extLst>
            <a:ext uri="{FF2B5EF4-FFF2-40B4-BE49-F238E27FC236}">
              <a16:creationId xmlns:a16="http://schemas.microsoft.com/office/drawing/2014/main" xmlns="" id="{00000000-0008-0000-0600-000003000000}"/>
            </a:ext>
          </a:extLst>
        </xdr:cNvPr>
        <xdr:cNvSpPr txBox="1">
          <a:spLocks noChangeArrowheads="1"/>
        </xdr:cNvSpPr>
      </xdr:nvSpPr>
      <xdr:spPr bwMode="auto">
        <a:xfrm>
          <a:off x="0" y="4611370"/>
          <a:ext cx="7084479" cy="259662"/>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2 </a:t>
          </a:r>
          <a:r>
            <a:rPr lang="it-IT" sz="800" b="0" i="0" strike="noStrike">
              <a:solidFill>
                <a:srgbClr val="000000"/>
              </a:solidFill>
              <a:latin typeface="Arial"/>
              <a:cs typeface="Arial"/>
            </a:rPr>
            <a:t> -  </a:t>
          </a:r>
          <a:r>
            <a:rPr lang="it-IT" sz="1000" b="0" i="0" strike="noStrike">
              <a:solidFill>
                <a:srgbClr val="000000"/>
              </a:solidFill>
              <a:latin typeface="Arial"/>
              <a:cs typeface="Arial"/>
            </a:rPr>
            <a:t>Personale con modalità di lavoro flessibile </a:t>
          </a:r>
        </a:p>
      </xdr:txBody>
    </xdr:sp>
    <xdr:clientData/>
  </xdr:twoCellAnchor>
  <mc:AlternateContent xmlns:mc="http://schemas.openxmlformats.org/markup-compatibility/2006">
    <mc:Choice xmlns:a14="http://schemas.microsoft.com/office/drawing/2010/main" Requires="a14">
      <xdr:twoCellAnchor editAs="oneCell">
        <xdr:from>
          <xdr:col>29</xdr:col>
          <xdr:colOff>180975</xdr:colOff>
          <xdr:row>12</xdr:row>
          <xdr:rowOff>142875</xdr:rowOff>
        </xdr:from>
        <xdr:to>
          <xdr:col>30</xdr:col>
          <xdr:colOff>257175</xdr:colOff>
          <xdr:row>13</xdr:row>
          <xdr:rowOff>161925</xdr:rowOff>
        </xdr:to>
        <xdr:sp macro="" textlink="">
          <xdr:nvSpPr>
            <xdr:cNvPr id="2994177" name="Drop Down 1" descr="No" hidden="1">
              <a:extLst>
                <a:ext uri="{63B3BB69-23CF-44E3-9099-C40C66FF867C}">
                  <a14:compatExt spid="_x0000_s2994177"/>
                </a:ext>
                <a:ext uri="{FF2B5EF4-FFF2-40B4-BE49-F238E27FC236}">
                  <a16:creationId xmlns:a16="http://schemas.microsoft.com/office/drawing/2014/main" xmlns="" id="{00000000-0008-0000-0600-000001B02D00}"/>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53640926-AAD7-44D8-BBD7-CCE9431645EC}">
                <a14:shadowObscured val="1"/>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xdr:col>
      <xdr:colOff>5715</xdr:colOff>
      <xdr:row>2</xdr:row>
      <xdr:rowOff>164465</xdr:rowOff>
    </xdr:from>
    <xdr:to>
      <xdr:col>11</xdr:col>
      <xdr:colOff>0</xdr:colOff>
      <xdr:row>3</xdr:row>
      <xdr:rowOff>128848</xdr:rowOff>
    </xdr:to>
    <xdr:sp macro="" textlink="">
      <xdr:nvSpPr>
        <xdr:cNvPr id="74753" name="Testo 9">
          <a:extLst>
            <a:ext uri="{FF2B5EF4-FFF2-40B4-BE49-F238E27FC236}">
              <a16:creationId xmlns:a16="http://schemas.microsoft.com/office/drawing/2014/main" xmlns="" id="{00000000-0008-0000-0700-000001240100}"/>
            </a:ext>
          </a:extLst>
        </xdr:cNvPr>
        <xdr:cNvSpPr txBox="1">
          <a:spLocks noChangeArrowheads="1"/>
        </xdr:cNvSpPr>
      </xdr:nvSpPr>
      <xdr:spPr bwMode="auto">
        <a:xfrm>
          <a:off x="361950" y="590550"/>
          <a:ext cx="584835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2A</a:t>
          </a:r>
          <a:r>
            <a:rPr lang="it-IT" sz="800" b="0" i="0" strike="noStrike">
              <a:solidFill>
                <a:srgbClr val="000000"/>
              </a:solidFill>
              <a:latin typeface="Arial"/>
              <a:cs typeface="Arial"/>
            </a:rPr>
            <a:t> - </a:t>
          </a:r>
          <a:r>
            <a:rPr lang="it-IT" sz="1000" b="0" i="0" strike="noStrike">
              <a:solidFill>
                <a:srgbClr val="000000"/>
              </a:solidFill>
              <a:latin typeface="Arial"/>
              <a:cs typeface="Arial"/>
            </a:rPr>
            <a:t>Distribuzione del personale a tempo determinato per anzianità di rapporto</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5715</xdr:colOff>
      <xdr:row>1</xdr:row>
      <xdr:rowOff>31750</xdr:rowOff>
    </xdr:from>
    <xdr:to>
      <xdr:col>6</xdr:col>
      <xdr:colOff>5715</xdr:colOff>
      <xdr:row>1</xdr:row>
      <xdr:rowOff>300450</xdr:rowOff>
    </xdr:to>
    <xdr:sp macro="" textlink="">
      <xdr:nvSpPr>
        <xdr:cNvPr id="37889" name="Testo 13">
          <a:extLst>
            <a:ext uri="{FF2B5EF4-FFF2-40B4-BE49-F238E27FC236}">
              <a16:creationId xmlns:a16="http://schemas.microsoft.com/office/drawing/2014/main" xmlns="" id="{00000000-0008-0000-0800-000001940000}"/>
            </a:ext>
          </a:extLst>
        </xdr:cNvPr>
        <xdr:cNvSpPr txBox="1">
          <a:spLocks noChangeArrowheads="1"/>
        </xdr:cNvSpPr>
      </xdr:nvSpPr>
      <xdr:spPr bwMode="auto">
        <a:xfrm>
          <a:off x="9525" y="590550"/>
          <a:ext cx="558165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3</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1000" b="0" i="0" strike="noStrike">
              <a:solidFill>
                <a:srgbClr val="000000"/>
              </a:solidFill>
              <a:latin typeface="Arial"/>
              <a:cs typeface="Arial"/>
            </a:rPr>
            <a:t>Personale in posizione di comando/distacco e fuori ruolo al 31 dicembre</a:t>
          </a:r>
        </a:p>
      </xdr:txBody>
    </xdr:sp>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trlProp" Target="../ctrlProps/ctrlProp365.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77.xml"/><Relationship Id="rId18" Type="http://schemas.openxmlformats.org/officeDocument/2006/relationships/ctrlProp" Target="../ctrlProps/ctrlProp82.xml"/><Relationship Id="rId26" Type="http://schemas.openxmlformats.org/officeDocument/2006/relationships/ctrlProp" Target="../ctrlProps/ctrlProp90.xml"/><Relationship Id="rId39" Type="http://schemas.openxmlformats.org/officeDocument/2006/relationships/ctrlProp" Target="../ctrlProps/ctrlProp103.xml"/><Relationship Id="rId21" Type="http://schemas.openxmlformats.org/officeDocument/2006/relationships/ctrlProp" Target="../ctrlProps/ctrlProp85.xml"/><Relationship Id="rId34" Type="http://schemas.openxmlformats.org/officeDocument/2006/relationships/ctrlProp" Target="../ctrlProps/ctrlProp98.xml"/><Relationship Id="rId42" Type="http://schemas.openxmlformats.org/officeDocument/2006/relationships/ctrlProp" Target="../ctrlProps/ctrlProp106.xml"/><Relationship Id="rId47" Type="http://schemas.openxmlformats.org/officeDocument/2006/relationships/ctrlProp" Target="../ctrlProps/ctrlProp111.xml"/><Relationship Id="rId50" Type="http://schemas.openxmlformats.org/officeDocument/2006/relationships/ctrlProp" Target="../ctrlProps/ctrlProp114.xml"/><Relationship Id="rId55" Type="http://schemas.openxmlformats.org/officeDocument/2006/relationships/ctrlProp" Target="../ctrlProps/ctrlProp119.xml"/><Relationship Id="rId63" Type="http://schemas.openxmlformats.org/officeDocument/2006/relationships/ctrlProp" Target="../ctrlProps/ctrlProp127.xml"/><Relationship Id="rId68" Type="http://schemas.openxmlformats.org/officeDocument/2006/relationships/ctrlProp" Target="../ctrlProps/ctrlProp132.xml"/><Relationship Id="rId76" Type="http://schemas.openxmlformats.org/officeDocument/2006/relationships/ctrlProp" Target="../ctrlProps/ctrlProp140.xml"/><Relationship Id="rId7" Type="http://schemas.openxmlformats.org/officeDocument/2006/relationships/ctrlProp" Target="../ctrlProps/ctrlProp71.xml"/><Relationship Id="rId71" Type="http://schemas.openxmlformats.org/officeDocument/2006/relationships/ctrlProp" Target="../ctrlProps/ctrlProp135.xml"/><Relationship Id="rId2" Type="http://schemas.openxmlformats.org/officeDocument/2006/relationships/drawing" Target="../drawings/drawing3.xml"/><Relationship Id="rId16" Type="http://schemas.openxmlformats.org/officeDocument/2006/relationships/ctrlProp" Target="../ctrlProps/ctrlProp80.xml"/><Relationship Id="rId29" Type="http://schemas.openxmlformats.org/officeDocument/2006/relationships/ctrlProp" Target="../ctrlProps/ctrlProp93.xml"/><Relationship Id="rId11" Type="http://schemas.openxmlformats.org/officeDocument/2006/relationships/ctrlProp" Target="../ctrlProps/ctrlProp75.xml"/><Relationship Id="rId24" Type="http://schemas.openxmlformats.org/officeDocument/2006/relationships/ctrlProp" Target="../ctrlProps/ctrlProp88.xml"/><Relationship Id="rId32" Type="http://schemas.openxmlformats.org/officeDocument/2006/relationships/ctrlProp" Target="../ctrlProps/ctrlProp96.xml"/><Relationship Id="rId37" Type="http://schemas.openxmlformats.org/officeDocument/2006/relationships/ctrlProp" Target="../ctrlProps/ctrlProp101.xml"/><Relationship Id="rId40" Type="http://schemas.openxmlformats.org/officeDocument/2006/relationships/ctrlProp" Target="../ctrlProps/ctrlProp104.xml"/><Relationship Id="rId45" Type="http://schemas.openxmlformats.org/officeDocument/2006/relationships/ctrlProp" Target="../ctrlProps/ctrlProp109.xml"/><Relationship Id="rId53" Type="http://schemas.openxmlformats.org/officeDocument/2006/relationships/ctrlProp" Target="../ctrlProps/ctrlProp117.xml"/><Relationship Id="rId58" Type="http://schemas.openxmlformats.org/officeDocument/2006/relationships/ctrlProp" Target="../ctrlProps/ctrlProp122.xml"/><Relationship Id="rId66" Type="http://schemas.openxmlformats.org/officeDocument/2006/relationships/ctrlProp" Target="../ctrlProps/ctrlProp130.xml"/><Relationship Id="rId74" Type="http://schemas.openxmlformats.org/officeDocument/2006/relationships/ctrlProp" Target="../ctrlProps/ctrlProp138.xml"/><Relationship Id="rId5" Type="http://schemas.openxmlformats.org/officeDocument/2006/relationships/ctrlProp" Target="../ctrlProps/ctrlProp69.xml"/><Relationship Id="rId15" Type="http://schemas.openxmlformats.org/officeDocument/2006/relationships/ctrlProp" Target="../ctrlProps/ctrlProp79.xml"/><Relationship Id="rId23" Type="http://schemas.openxmlformats.org/officeDocument/2006/relationships/ctrlProp" Target="../ctrlProps/ctrlProp87.xml"/><Relationship Id="rId28" Type="http://schemas.openxmlformats.org/officeDocument/2006/relationships/ctrlProp" Target="../ctrlProps/ctrlProp92.xml"/><Relationship Id="rId36" Type="http://schemas.openxmlformats.org/officeDocument/2006/relationships/ctrlProp" Target="../ctrlProps/ctrlProp100.xml"/><Relationship Id="rId49" Type="http://schemas.openxmlformats.org/officeDocument/2006/relationships/ctrlProp" Target="../ctrlProps/ctrlProp113.xml"/><Relationship Id="rId57" Type="http://schemas.openxmlformats.org/officeDocument/2006/relationships/ctrlProp" Target="../ctrlProps/ctrlProp121.xml"/><Relationship Id="rId61" Type="http://schemas.openxmlformats.org/officeDocument/2006/relationships/ctrlProp" Target="../ctrlProps/ctrlProp125.xml"/><Relationship Id="rId10" Type="http://schemas.openxmlformats.org/officeDocument/2006/relationships/ctrlProp" Target="../ctrlProps/ctrlProp74.xml"/><Relationship Id="rId19" Type="http://schemas.openxmlformats.org/officeDocument/2006/relationships/ctrlProp" Target="../ctrlProps/ctrlProp83.xml"/><Relationship Id="rId31" Type="http://schemas.openxmlformats.org/officeDocument/2006/relationships/ctrlProp" Target="../ctrlProps/ctrlProp95.xml"/><Relationship Id="rId44" Type="http://schemas.openxmlformats.org/officeDocument/2006/relationships/ctrlProp" Target="../ctrlProps/ctrlProp108.xml"/><Relationship Id="rId52" Type="http://schemas.openxmlformats.org/officeDocument/2006/relationships/ctrlProp" Target="../ctrlProps/ctrlProp116.xml"/><Relationship Id="rId60" Type="http://schemas.openxmlformats.org/officeDocument/2006/relationships/ctrlProp" Target="../ctrlProps/ctrlProp124.xml"/><Relationship Id="rId65" Type="http://schemas.openxmlformats.org/officeDocument/2006/relationships/ctrlProp" Target="../ctrlProps/ctrlProp129.xml"/><Relationship Id="rId73" Type="http://schemas.openxmlformats.org/officeDocument/2006/relationships/ctrlProp" Target="../ctrlProps/ctrlProp137.xml"/><Relationship Id="rId78" Type="http://schemas.openxmlformats.org/officeDocument/2006/relationships/ctrlProp" Target="../ctrlProps/ctrlProp142.xml"/><Relationship Id="rId4" Type="http://schemas.openxmlformats.org/officeDocument/2006/relationships/ctrlProp" Target="../ctrlProps/ctrlProp68.xml"/><Relationship Id="rId9" Type="http://schemas.openxmlformats.org/officeDocument/2006/relationships/ctrlProp" Target="../ctrlProps/ctrlProp73.xml"/><Relationship Id="rId14" Type="http://schemas.openxmlformats.org/officeDocument/2006/relationships/ctrlProp" Target="../ctrlProps/ctrlProp78.xml"/><Relationship Id="rId22" Type="http://schemas.openxmlformats.org/officeDocument/2006/relationships/ctrlProp" Target="../ctrlProps/ctrlProp86.xml"/><Relationship Id="rId27" Type="http://schemas.openxmlformats.org/officeDocument/2006/relationships/ctrlProp" Target="../ctrlProps/ctrlProp91.xml"/><Relationship Id="rId30" Type="http://schemas.openxmlformats.org/officeDocument/2006/relationships/ctrlProp" Target="../ctrlProps/ctrlProp94.xml"/><Relationship Id="rId35" Type="http://schemas.openxmlformats.org/officeDocument/2006/relationships/ctrlProp" Target="../ctrlProps/ctrlProp99.xml"/><Relationship Id="rId43" Type="http://schemas.openxmlformats.org/officeDocument/2006/relationships/ctrlProp" Target="../ctrlProps/ctrlProp107.xml"/><Relationship Id="rId48" Type="http://schemas.openxmlformats.org/officeDocument/2006/relationships/ctrlProp" Target="../ctrlProps/ctrlProp112.xml"/><Relationship Id="rId56" Type="http://schemas.openxmlformats.org/officeDocument/2006/relationships/ctrlProp" Target="../ctrlProps/ctrlProp120.xml"/><Relationship Id="rId64" Type="http://schemas.openxmlformats.org/officeDocument/2006/relationships/ctrlProp" Target="../ctrlProps/ctrlProp128.xml"/><Relationship Id="rId69" Type="http://schemas.openxmlformats.org/officeDocument/2006/relationships/ctrlProp" Target="../ctrlProps/ctrlProp133.xml"/><Relationship Id="rId77" Type="http://schemas.openxmlformats.org/officeDocument/2006/relationships/ctrlProp" Target="../ctrlProps/ctrlProp141.xml"/><Relationship Id="rId8" Type="http://schemas.openxmlformats.org/officeDocument/2006/relationships/ctrlProp" Target="../ctrlProps/ctrlProp72.xml"/><Relationship Id="rId51" Type="http://schemas.openxmlformats.org/officeDocument/2006/relationships/ctrlProp" Target="../ctrlProps/ctrlProp115.xml"/><Relationship Id="rId72" Type="http://schemas.openxmlformats.org/officeDocument/2006/relationships/ctrlProp" Target="../ctrlProps/ctrlProp136.xml"/><Relationship Id="rId3" Type="http://schemas.openxmlformats.org/officeDocument/2006/relationships/vmlDrawing" Target="../drawings/vmlDrawing2.vml"/><Relationship Id="rId12" Type="http://schemas.openxmlformats.org/officeDocument/2006/relationships/ctrlProp" Target="../ctrlProps/ctrlProp76.xml"/><Relationship Id="rId17" Type="http://schemas.openxmlformats.org/officeDocument/2006/relationships/ctrlProp" Target="../ctrlProps/ctrlProp81.xml"/><Relationship Id="rId25" Type="http://schemas.openxmlformats.org/officeDocument/2006/relationships/ctrlProp" Target="../ctrlProps/ctrlProp89.xml"/><Relationship Id="rId33" Type="http://schemas.openxmlformats.org/officeDocument/2006/relationships/ctrlProp" Target="../ctrlProps/ctrlProp97.xml"/><Relationship Id="rId38" Type="http://schemas.openxmlformats.org/officeDocument/2006/relationships/ctrlProp" Target="../ctrlProps/ctrlProp102.xml"/><Relationship Id="rId46" Type="http://schemas.openxmlformats.org/officeDocument/2006/relationships/ctrlProp" Target="../ctrlProps/ctrlProp110.xml"/><Relationship Id="rId59" Type="http://schemas.openxmlformats.org/officeDocument/2006/relationships/ctrlProp" Target="../ctrlProps/ctrlProp123.xml"/><Relationship Id="rId67" Type="http://schemas.openxmlformats.org/officeDocument/2006/relationships/ctrlProp" Target="../ctrlProps/ctrlProp131.xml"/><Relationship Id="rId20" Type="http://schemas.openxmlformats.org/officeDocument/2006/relationships/ctrlProp" Target="../ctrlProps/ctrlProp84.xml"/><Relationship Id="rId41" Type="http://schemas.openxmlformats.org/officeDocument/2006/relationships/ctrlProp" Target="../ctrlProps/ctrlProp105.xml"/><Relationship Id="rId54" Type="http://schemas.openxmlformats.org/officeDocument/2006/relationships/ctrlProp" Target="../ctrlProps/ctrlProp118.xml"/><Relationship Id="rId62" Type="http://schemas.openxmlformats.org/officeDocument/2006/relationships/ctrlProp" Target="../ctrlProps/ctrlProp126.xml"/><Relationship Id="rId70" Type="http://schemas.openxmlformats.org/officeDocument/2006/relationships/ctrlProp" Target="../ctrlProps/ctrlProp134.xml"/><Relationship Id="rId75" Type="http://schemas.openxmlformats.org/officeDocument/2006/relationships/ctrlProp" Target="../ctrlProps/ctrlProp139.xml"/><Relationship Id="rId1" Type="http://schemas.openxmlformats.org/officeDocument/2006/relationships/printerSettings" Target="../printerSettings/printerSettings3.bin"/><Relationship Id="rId6" Type="http://schemas.openxmlformats.org/officeDocument/2006/relationships/ctrlProp" Target="../ctrlProps/ctrlProp70.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47.xml"/><Relationship Id="rId13" Type="http://schemas.openxmlformats.org/officeDocument/2006/relationships/ctrlProp" Target="../ctrlProps/ctrlProp152.xml"/><Relationship Id="rId18" Type="http://schemas.openxmlformats.org/officeDocument/2006/relationships/ctrlProp" Target="../ctrlProps/ctrlProp157.xml"/><Relationship Id="rId26" Type="http://schemas.openxmlformats.org/officeDocument/2006/relationships/ctrlProp" Target="../ctrlProps/ctrlProp165.xml"/><Relationship Id="rId39" Type="http://schemas.openxmlformats.org/officeDocument/2006/relationships/ctrlProp" Target="../ctrlProps/ctrlProp178.xml"/><Relationship Id="rId3" Type="http://schemas.openxmlformats.org/officeDocument/2006/relationships/vmlDrawing" Target="../drawings/vmlDrawing3.vml"/><Relationship Id="rId21" Type="http://schemas.openxmlformats.org/officeDocument/2006/relationships/ctrlProp" Target="../ctrlProps/ctrlProp160.xml"/><Relationship Id="rId34" Type="http://schemas.openxmlformats.org/officeDocument/2006/relationships/ctrlProp" Target="../ctrlProps/ctrlProp173.xml"/><Relationship Id="rId42" Type="http://schemas.openxmlformats.org/officeDocument/2006/relationships/ctrlProp" Target="../ctrlProps/ctrlProp181.xml"/><Relationship Id="rId7" Type="http://schemas.openxmlformats.org/officeDocument/2006/relationships/ctrlProp" Target="../ctrlProps/ctrlProp146.xml"/><Relationship Id="rId12" Type="http://schemas.openxmlformats.org/officeDocument/2006/relationships/ctrlProp" Target="../ctrlProps/ctrlProp151.xml"/><Relationship Id="rId17" Type="http://schemas.openxmlformats.org/officeDocument/2006/relationships/ctrlProp" Target="../ctrlProps/ctrlProp156.xml"/><Relationship Id="rId25" Type="http://schemas.openxmlformats.org/officeDocument/2006/relationships/ctrlProp" Target="../ctrlProps/ctrlProp164.xml"/><Relationship Id="rId33" Type="http://schemas.openxmlformats.org/officeDocument/2006/relationships/ctrlProp" Target="../ctrlProps/ctrlProp172.xml"/><Relationship Id="rId38" Type="http://schemas.openxmlformats.org/officeDocument/2006/relationships/ctrlProp" Target="../ctrlProps/ctrlProp177.xml"/><Relationship Id="rId2" Type="http://schemas.openxmlformats.org/officeDocument/2006/relationships/drawing" Target="../drawings/drawing4.xml"/><Relationship Id="rId16" Type="http://schemas.openxmlformats.org/officeDocument/2006/relationships/ctrlProp" Target="../ctrlProps/ctrlProp155.xml"/><Relationship Id="rId20" Type="http://schemas.openxmlformats.org/officeDocument/2006/relationships/ctrlProp" Target="../ctrlProps/ctrlProp159.xml"/><Relationship Id="rId29" Type="http://schemas.openxmlformats.org/officeDocument/2006/relationships/ctrlProp" Target="../ctrlProps/ctrlProp168.xml"/><Relationship Id="rId41" Type="http://schemas.openxmlformats.org/officeDocument/2006/relationships/ctrlProp" Target="../ctrlProps/ctrlProp180.xml"/><Relationship Id="rId1" Type="http://schemas.openxmlformats.org/officeDocument/2006/relationships/printerSettings" Target="../printerSettings/printerSettings4.bin"/><Relationship Id="rId6" Type="http://schemas.openxmlformats.org/officeDocument/2006/relationships/ctrlProp" Target="../ctrlProps/ctrlProp145.xml"/><Relationship Id="rId11" Type="http://schemas.openxmlformats.org/officeDocument/2006/relationships/ctrlProp" Target="../ctrlProps/ctrlProp150.xml"/><Relationship Id="rId24" Type="http://schemas.openxmlformats.org/officeDocument/2006/relationships/ctrlProp" Target="../ctrlProps/ctrlProp163.xml"/><Relationship Id="rId32" Type="http://schemas.openxmlformats.org/officeDocument/2006/relationships/ctrlProp" Target="../ctrlProps/ctrlProp171.xml"/><Relationship Id="rId37" Type="http://schemas.openxmlformats.org/officeDocument/2006/relationships/ctrlProp" Target="../ctrlProps/ctrlProp176.xml"/><Relationship Id="rId40" Type="http://schemas.openxmlformats.org/officeDocument/2006/relationships/ctrlProp" Target="../ctrlProps/ctrlProp179.xml"/><Relationship Id="rId5" Type="http://schemas.openxmlformats.org/officeDocument/2006/relationships/ctrlProp" Target="../ctrlProps/ctrlProp144.xml"/><Relationship Id="rId15" Type="http://schemas.openxmlformats.org/officeDocument/2006/relationships/ctrlProp" Target="../ctrlProps/ctrlProp154.xml"/><Relationship Id="rId23" Type="http://schemas.openxmlformats.org/officeDocument/2006/relationships/ctrlProp" Target="../ctrlProps/ctrlProp162.xml"/><Relationship Id="rId28" Type="http://schemas.openxmlformats.org/officeDocument/2006/relationships/ctrlProp" Target="../ctrlProps/ctrlProp167.xml"/><Relationship Id="rId36" Type="http://schemas.openxmlformats.org/officeDocument/2006/relationships/ctrlProp" Target="../ctrlProps/ctrlProp175.xml"/><Relationship Id="rId10" Type="http://schemas.openxmlformats.org/officeDocument/2006/relationships/ctrlProp" Target="../ctrlProps/ctrlProp149.xml"/><Relationship Id="rId19" Type="http://schemas.openxmlformats.org/officeDocument/2006/relationships/ctrlProp" Target="../ctrlProps/ctrlProp158.xml"/><Relationship Id="rId31" Type="http://schemas.openxmlformats.org/officeDocument/2006/relationships/ctrlProp" Target="../ctrlProps/ctrlProp170.xml"/><Relationship Id="rId44" Type="http://schemas.openxmlformats.org/officeDocument/2006/relationships/ctrlProp" Target="../ctrlProps/ctrlProp183.xml"/><Relationship Id="rId4" Type="http://schemas.openxmlformats.org/officeDocument/2006/relationships/ctrlProp" Target="../ctrlProps/ctrlProp143.xml"/><Relationship Id="rId9" Type="http://schemas.openxmlformats.org/officeDocument/2006/relationships/ctrlProp" Target="../ctrlProps/ctrlProp148.xml"/><Relationship Id="rId14" Type="http://schemas.openxmlformats.org/officeDocument/2006/relationships/ctrlProp" Target="../ctrlProps/ctrlProp153.xml"/><Relationship Id="rId22" Type="http://schemas.openxmlformats.org/officeDocument/2006/relationships/ctrlProp" Target="../ctrlProps/ctrlProp161.xml"/><Relationship Id="rId27" Type="http://schemas.openxmlformats.org/officeDocument/2006/relationships/ctrlProp" Target="../ctrlProps/ctrlProp166.xml"/><Relationship Id="rId30" Type="http://schemas.openxmlformats.org/officeDocument/2006/relationships/ctrlProp" Target="../ctrlProps/ctrlProp169.xml"/><Relationship Id="rId35" Type="http://schemas.openxmlformats.org/officeDocument/2006/relationships/ctrlProp" Target="../ctrlProps/ctrlProp174.xml"/><Relationship Id="rId43" Type="http://schemas.openxmlformats.org/officeDocument/2006/relationships/ctrlProp" Target="../ctrlProps/ctrlProp182.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206.xml"/><Relationship Id="rId117" Type="http://schemas.openxmlformats.org/officeDocument/2006/relationships/ctrlProp" Target="../ctrlProps/ctrlProp297.xml"/><Relationship Id="rId21" Type="http://schemas.openxmlformats.org/officeDocument/2006/relationships/ctrlProp" Target="../ctrlProps/ctrlProp201.xml"/><Relationship Id="rId42" Type="http://schemas.openxmlformats.org/officeDocument/2006/relationships/ctrlProp" Target="../ctrlProps/ctrlProp222.xml"/><Relationship Id="rId47" Type="http://schemas.openxmlformats.org/officeDocument/2006/relationships/ctrlProp" Target="../ctrlProps/ctrlProp227.xml"/><Relationship Id="rId63" Type="http://schemas.openxmlformats.org/officeDocument/2006/relationships/ctrlProp" Target="../ctrlProps/ctrlProp243.xml"/><Relationship Id="rId68" Type="http://schemas.openxmlformats.org/officeDocument/2006/relationships/ctrlProp" Target="../ctrlProps/ctrlProp248.xml"/><Relationship Id="rId84" Type="http://schemas.openxmlformats.org/officeDocument/2006/relationships/ctrlProp" Target="../ctrlProps/ctrlProp264.xml"/><Relationship Id="rId89" Type="http://schemas.openxmlformats.org/officeDocument/2006/relationships/ctrlProp" Target="../ctrlProps/ctrlProp269.xml"/><Relationship Id="rId112" Type="http://schemas.openxmlformats.org/officeDocument/2006/relationships/ctrlProp" Target="../ctrlProps/ctrlProp292.xml"/><Relationship Id="rId133" Type="http://schemas.openxmlformats.org/officeDocument/2006/relationships/ctrlProp" Target="../ctrlProps/ctrlProp313.xml"/><Relationship Id="rId138" Type="http://schemas.openxmlformats.org/officeDocument/2006/relationships/ctrlProp" Target="../ctrlProps/ctrlProp318.xml"/><Relationship Id="rId154" Type="http://schemas.openxmlformats.org/officeDocument/2006/relationships/ctrlProp" Target="../ctrlProps/ctrlProp334.xml"/><Relationship Id="rId159" Type="http://schemas.openxmlformats.org/officeDocument/2006/relationships/ctrlProp" Target="../ctrlProps/ctrlProp339.xml"/><Relationship Id="rId175" Type="http://schemas.openxmlformats.org/officeDocument/2006/relationships/ctrlProp" Target="../ctrlProps/ctrlProp355.xml"/><Relationship Id="rId170" Type="http://schemas.openxmlformats.org/officeDocument/2006/relationships/ctrlProp" Target="../ctrlProps/ctrlProp350.xml"/><Relationship Id="rId16" Type="http://schemas.openxmlformats.org/officeDocument/2006/relationships/ctrlProp" Target="../ctrlProps/ctrlProp196.xml"/><Relationship Id="rId107" Type="http://schemas.openxmlformats.org/officeDocument/2006/relationships/ctrlProp" Target="../ctrlProps/ctrlProp287.xml"/><Relationship Id="rId11" Type="http://schemas.openxmlformats.org/officeDocument/2006/relationships/ctrlProp" Target="../ctrlProps/ctrlProp191.xml"/><Relationship Id="rId32" Type="http://schemas.openxmlformats.org/officeDocument/2006/relationships/ctrlProp" Target="../ctrlProps/ctrlProp212.xml"/><Relationship Id="rId37" Type="http://schemas.openxmlformats.org/officeDocument/2006/relationships/ctrlProp" Target="../ctrlProps/ctrlProp217.xml"/><Relationship Id="rId53" Type="http://schemas.openxmlformats.org/officeDocument/2006/relationships/ctrlProp" Target="../ctrlProps/ctrlProp233.xml"/><Relationship Id="rId58" Type="http://schemas.openxmlformats.org/officeDocument/2006/relationships/ctrlProp" Target="../ctrlProps/ctrlProp238.xml"/><Relationship Id="rId74" Type="http://schemas.openxmlformats.org/officeDocument/2006/relationships/ctrlProp" Target="../ctrlProps/ctrlProp254.xml"/><Relationship Id="rId79" Type="http://schemas.openxmlformats.org/officeDocument/2006/relationships/ctrlProp" Target="../ctrlProps/ctrlProp259.xml"/><Relationship Id="rId102" Type="http://schemas.openxmlformats.org/officeDocument/2006/relationships/ctrlProp" Target="../ctrlProps/ctrlProp282.xml"/><Relationship Id="rId123" Type="http://schemas.openxmlformats.org/officeDocument/2006/relationships/ctrlProp" Target="../ctrlProps/ctrlProp303.xml"/><Relationship Id="rId128" Type="http://schemas.openxmlformats.org/officeDocument/2006/relationships/ctrlProp" Target="../ctrlProps/ctrlProp308.xml"/><Relationship Id="rId144" Type="http://schemas.openxmlformats.org/officeDocument/2006/relationships/ctrlProp" Target="../ctrlProps/ctrlProp324.xml"/><Relationship Id="rId149" Type="http://schemas.openxmlformats.org/officeDocument/2006/relationships/ctrlProp" Target="../ctrlProps/ctrlProp329.xml"/><Relationship Id="rId5" Type="http://schemas.openxmlformats.org/officeDocument/2006/relationships/ctrlProp" Target="../ctrlProps/ctrlProp185.xml"/><Relationship Id="rId90" Type="http://schemas.openxmlformats.org/officeDocument/2006/relationships/ctrlProp" Target="../ctrlProps/ctrlProp270.xml"/><Relationship Id="rId95" Type="http://schemas.openxmlformats.org/officeDocument/2006/relationships/ctrlProp" Target="../ctrlProps/ctrlProp275.xml"/><Relationship Id="rId160" Type="http://schemas.openxmlformats.org/officeDocument/2006/relationships/ctrlProp" Target="../ctrlProps/ctrlProp340.xml"/><Relationship Id="rId165" Type="http://schemas.openxmlformats.org/officeDocument/2006/relationships/ctrlProp" Target="../ctrlProps/ctrlProp345.xml"/><Relationship Id="rId181" Type="http://schemas.openxmlformats.org/officeDocument/2006/relationships/ctrlProp" Target="../ctrlProps/ctrlProp361.xml"/><Relationship Id="rId22" Type="http://schemas.openxmlformats.org/officeDocument/2006/relationships/ctrlProp" Target="../ctrlProps/ctrlProp202.xml"/><Relationship Id="rId27" Type="http://schemas.openxmlformats.org/officeDocument/2006/relationships/ctrlProp" Target="../ctrlProps/ctrlProp207.xml"/><Relationship Id="rId43" Type="http://schemas.openxmlformats.org/officeDocument/2006/relationships/ctrlProp" Target="../ctrlProps/ctrlProp223.xml"/><Relationship Id="rId48" Type="http://schemas.openxmlformats.org/officeDocument/2006/relationships/ctrlProp" Target="../ctrlProps/ctrlProp228.xml"/><Relationship Id="rId64" Type="http://schemas.openxmlformats.org/officeDocument/2006/relationships/ctrlProp" Target="../ctrlProps/ctrlProp244.xml"/><Relationship Id="rId69" Type="http://schemas.openxmlformats.org/officeDocument/2006/relationships/ctrlProp" Target="../ctrlProps/ctrlProp249.xml"/><Relationship Id="rId113" Type="http://schemas.openxmlformats.org/officeDocument/2006/relationships/ctrlProp" Target="../ctrlProps/ctrlProp293.xml"/><Relationship Id="rId118" Type="http://schemas.openxmlformats.org/officeDocument/2006/relationships/ctrlProp" Target="../ctrlProps/ctrlProp298.xml"/><Relationship Id="rId134" Type="http://schemas.openxmlformats.org/officeDocument/2006/relationships/ctrlProp" Target="../ctrlProps/ctrlProp314.xml"/><Relationship Id="rId139" Type="http://schemas.openxmlformats.org/officeDocument/2006/relationships/ctrlProp" Target="../ctrlProps/ctrlProp319.xml"/><Relationship Id="rId80" Type="http://schemas.openxmlformats.org/officeDocument/2006/relationships/ctrlProp" Target="../ctrlProps/ctrlProp260.xml"/><Relationship Id="rId85" Type="http://schemas.openxmlformats.org/officeDocument/2006/relationships/ctrlProp" Target="../ctrlProps/ctrlProp265.xml"/><Relationship Id="rId150" Type="http://schemas.openxmlformats.org/officeDocument/2006/relationships/ctrlProp" Target="../ctrlProps/ctrlProp330.xml"/><Relationship Id="rId155" Type="http://schemas.openxmlformats.org/officeDocument/2006/relationships/ctrlProp" Target="../ctrlProps/ctrlProp335.xml"/><Relationship Id="rId171" Type="http://schemas.openxmlformats.org/officeDocument/2006/relationships/ctrlProp" Target="../ctrlProps/ctrlProp351.xml"/><Relationship Id="rId176" Type="http://schemas.openxmlformats.org/officeDocument/2006/relationships/ctrlProp" Target="../ctrlProps/ctrlProp356.xml"/><Relationship Id="rId12" Type="http://schemas.openxmlformats.org/officeDocument/2006/relationships/ctrlProp" Target="../ctrlProps/ctrlProp192.xml"/><Relationship Id="rId17" Type="http://schemas.openxmlformats.org/officeDocument/2006/relationships/ctrlProp" Target="../ctrlProps/ctrlProp197.xml"/><Relationship Id="rId33" Type="http://schemas.openxmlformats.org/officeDocument/2006/relationships/ctrlProp" Target="../ctrlProps/ctrlProp213.xml"/><Relationship Id="rId38" Type="http://schemas.openxmlformats.org/officeDocument/2006/relationships/ctrlProp" Target="../ctrlProps/ctrlProp218.xml"/><Relationship Id="rId59" Type="http://schemas.openxmlformats.org/officeDocument/2006/relationships/ctrlProp" Target="../ctrlProps/ctrlProp239.xml"/><Relationship Id="rId103" Type="http://schemas.openxmlformats.org/officeDocument/2006/relationships/ctrlProp" Target="../ctrlProps/ctrlProp283.xml"/><Relationship Id="rId108" Type="http://schemas.openxmlformats.org/officeDocument/2006/relationships/ctrlProp" Target="../ctrlProps/ctrlProp288.xml"/><Relationship Id="rId124" Type="http://schemas.openxmlformats.org/officeDocument/2006/relationships/ctrlProp" Target="../ctrlProps/ctrlProp304.xml"/><Relationship Id="rId129" Type="http://schemas.openxmlformats.org/officeDocument/2006/relationships/ctrlProp" Target="../ctrlProps/ctrlProp309.xml"/><Relationship Id="rId54" Type="http://schemas.openxmlformats.org/officeDocument/2006/relationships/ctrlProp" Target="../ctrlProps/ctrlProp234.xml"/><Relationship Id="rId70" Type="http://schemas.openxmlformats.org/officeDocument/2006/relationships/ctrlProp" Target="../ctrlProps/ctrlProp250.xml"/><Relationship Id="rId75" Type="http://schemas.openxmlformats.org/officeDocument/2006/relationships/ctrlProp" Target="../ctrlProps/ctrlProp255.xml"/><Relationship Id="rId91" Type="http://schemas.openxmlformats.org/officeDocument/2006/relationships/ctrlProp" Target="../ctrlProps/ctrlProp271.xml"/><Relationship Id="rId96" Type="http://schemas.openxmlformats.org/officeDocument/2006/relationships/ctrlProp" Target="../ctrlProps/ctrlProp276.xml"/><Relationship Id="rId140" Type="http://schemas.openxmlformats.org/officeDocument/2006/relationships/ctrlProp" Target="../ctrlProps/ctrlProp320.xml"/><Relationship Id="rId145" Type="http://schemas.openxmlformats.org/officeDocument/2006/relationships/ctrlProp" Target="../ctrlProps/ctrlProp325.xml"/><Relationship Id="rId161" Type="http://schemas.openxmlformats.org/officeDocument/2006/relationships/ctrlProp" Target="../ctrlProps/ctrlProp341.xml"/><Relationship Id="rId166" Type="http://schemas.openxmlformats.org/officeDocument/2006/relationships/ctrlProp" Target="../ctrlProps/ctrlProp346.xml"/><Relationship Id="rId182" Type="http://schemas.openxmlformats.org/officeDocument/2006/relationships/ctrlProp" Target="../ctrlProps/ctrlProp362.xml"/><Relationship Id="rId1" Type="http://schemas.openxmlformats.org/officeDocument/2006/relationships/printerSettings" Target="../printerSettings/printerSettings5.bin"/><Relationship Id="rId6" Type="http://schemas.openxmlformats.org/officeDocument/2006/relationships/ctrlProp" Target="../ctrlProps/ctrlProp186.xml"/><Relationship Id="rId23" Type="http://schemas.openxmlformats.org/officeDocument/2006/relationships/ctrlProp" Target="../ctrlProps/ctrlProp203.xml"/><Relationship Id="rId28" Type="http://schemas.openxmlformats.org/officeDocument/2006/relationships/ctrlProp" Target="../ctrlProps/ctrlProp208.xml"/><Relationship Id="rId49" Type="http://schemas.openxmlformats.org/officeDocument/2006/relationships/ctrlProp" Target="../ctrlProps/ctrlProp229.xml"/><Relationship Id="rId114" Type="http://schemas.openxmlformats.org/officeDocument/2006/relationships/ctrlProp" Target="../ctrlProps/ctrlProp294.xml"/><Relationship Id="rId119" Type="http://schemas.openxmlformats.org/officeDocument/2006/relationships/ctrlProp" Target="../ctrlProps/ctrlProp299.xml"/><Relationship Id="rId44" Type="http://schemas.openxmlformats.org/officeDocument/2006/relationships/ctrlProp" Target="../ctrlProps/ctrlProp224.xml"/><Relationship Id="rId60" Type="http://schemas.openxmlformats.org/officeDocument/2006/relationships/ctrlProp" Target="../ctrlProps/ctrlProp240.xml"/><Relationship Id="rId65" Type="http://schemas.openxmlformats.org/officeDocument/2006/relationships/ctrlProp" Target="../ctrlProps/ctrlProp245.xml"/><Relationship Id="rId81" Type="http://schemas.openxmlformats.org/officeDocument/2006/relationships/ctrlProp" Target="../ctrlProps/ctrlProp261.xml"/><Relationship Id="rId86" Type="http://schemas.openxmlformats.org/officeDocument/2006/relationships/ctrlProp" Target="../ctrlProps/ctrlProp266.xml"/><Relationship Id="rId130" Type="http://schemas.openxmlformats.org/officeDocument/2006/relationships/ctrlProp" Target="../ctrlProps/ctrlProp310.xml"/><Relationship Id="rId135" Type="http://schemas.openxmlformats.org/officeDocument/2006/relationships/ctrlProp" Target="../ctrlProps/ctrlProp315.xml"/><Relationship Id="rId151" Type="http://schemas.openxmlformats.org/officeDocument/2006/relationships/ctrlProp" Target="../ctrlProps/ctrlProp331.xml"/><Relationship Id="rId156" Type="http://schemas.openxmlformats.org/officeDocument/2006/relationships/ctrlProp" Target="../ctrlProps/ctrlProp336.xml"/><Relationship Id="rId177" Type="http://schemas.openxmlformats.org/officeDocument/2006/relationships/ctrlProp" Target="../ctrlProps/ctrlProp357.xml"/><Relationship Id="rId4" Type="http://schemas.openxmlformats.org/officeDocument/2006/relationships/ctrlProp" Target="../ctrlProps/ctrlProp184.xml"/><Relationship Id="rId9" Type="http://schemas.openxmlformats.org/officeDocument/2006/relationships/ctrlProp" Target="../ctrlProps/ctrlProp189.xml"/><Relationship Id="rId172" Type="http://schemas.openxmlformats.org/officeDocument/2006/relationships/ctrlProp" Target="../ctrlProps/ctrlProp352.xml"/><Relationship Id="rId180" Type="http://schemas.openxmlformats.org/officeDocument/2006/relationships/ctrlProp" Target="../ctrlProps/ctrlProp360.xml"/><Relationship Id="rId13" Type="http://schemas.openxmlformats.org/officeDocument/2006/relationships/ctrlProp" Target="../ctrlProps/ctrlProp193.xml"/><Relationship Id="rId18" Type="http://schemas.openxmlformats.org/officeDocument/2006/relationships/ctrlProp" Target="../ctrlProps/ctrlProp198.xml"/><Relationship Id="rId39" Type="http://schemas.openxmlformats.org/officeDocument/2006/relationships/ctrlProp" Target="../ctrlProps/ctrlProp219.xml"/><Relationship Id="rId109" Type="http://schemas.openxmlformats.org/officeDocument/2006/relationships/ctrlProp" Target="../ctrlProps/ctrlProp289.xml"/><Relationship Id="rId34" Type="http://schemas.openxmlformats.org/officeDocument/2006/relationships/ctrlProp" Target="../ctrlProps/ctrlProp214.xml"/><Relationship Id="rId50" Type="http://schemas.openxmlformats.org/officeDocument/2006/relationships/ctrlProp" Target="../ctrlProps/ctrlProp230.xml"/><Relationship Id="rId55" Type="http://schemas.openxmlformats.org/officeDocument/2006/relationships/ctrlProp" Target="../ctrlProps/ctrlProp235.xml"/><Relationship Id="rId76" Type="http://schemas.openxmlformats.org/officeDocument/2006/relationships/ctrlProp" Target="../ctrlProps/ctrlProp256.xml"/><Relationship Id="rId97" Type="http://schemas.openxmlformats.org/officeDocument/2006/relationships/ctrlProp" Target="../ctrlProps/ctrlProp277.xml"/><Relationship Id="rId104" Type="http://schemas.openxmlformats.org/officeDocument/2006/relationships/ctrlProp" Target="../ctrlProps/ctrlProp284.xml"/><Relationship Id="rId120" Type="http://schemas.openxmlformats.org/officeDocument/2006/relationships/ctrlProp" Target="../ctrlProps/ctrlProp300.xml"/><Relationship Id="rId125" Type="http://schemas.openxmlformats.org/officeDocument/2006/relationships/ctrlProp" Target="../ctrlProps/ctrlProp305.xml"/><Relationship Id="rId141" Type="http://schemas.openxmlformats.org/officeDocument/2006/relationships/ctrlProp" Target="../ctrlProps/ctrlProp321.xml"/><Relationship Id="rId146" Type="http://schemas.openxmlformats.org/officeDocument/2006/relationships/ctrlProp" Target="../ctrlProps/ctrlProp326.xml"/><Relationship Id="rId167" Type="http://schemas.openxmlformats.org/officeDocument/2006/relationships/ctrlProp" Target="../ctrlProps/ctrlProp347.xml"/><Relationship Id="rId7" Type="http://schemas.openxmlformats.org/officeDocument/2006/relationships/ctrlProp" Target="../ctrlProps/ctrlProp187.xml"/><Relationship Id="rId71" Type="http://schemas.openxmlformats.org/officeDocument/2006/relationships/ctrlProp" Target="../ctrlProps/ctrlProp251.xml"/><Relationship Id="rId92" Type="http://schemas.openxmlformats.org/officeDocument/2006/relationships/ctrlProp" Target="../ctrlProps/ctrlProp272.xml"/><Relationship Id="rId162" Type="http://schemas.openxmlformats.org/officeDocument/2006/relationships/ctrlProp" Target="../ctrlProps/ctrlProp342.xml"/><Relationship Id="rId183" Type="http://schemas.openxmlformats.org/officeDocument/2006/relationships/ctrlProp" Target="../ctrlProps/ctrlProp363.xml"/><Relationship Id="rId2" Type="http://schemas.openxmlformats.org/officeDocument/2006/relationships/drawing" Target="../drawings/drawing5.xml"/><Relationship Id="rId29" Type="http://schemas.openxmlformats.org/officeDocument/2006/relationships/ctrlProp" Target="../ctrlProps/ctrlProp209.xml"/><Relationship Id="rId24" Type="http://schemas.openxmlformats.org/officeDocument/2006/relationships/ctrlProp" Target="../ctrlProps/ctrlProp204.xml"/><Relationship Id="rId40" Type="http://schemas.openxmlformats.org/officeDocument/2006/relationships/ctrlProp" Target="../ctrlProps/ctrlProp220.xml"/><Relationship Id="rId45" Type="http://schemas.openxmlformats.org/officeDocument/2006/relationships/ctrlProp" Target="../ctrlProps/ctrlProp225.xml"/><Relationship Id="rId66" Type="http://schemas.openxmlformats.org/officeDocument/2006/relationships/ctrlProp" Target="../ctrlProps/ctrlProp246.xml"/><Relationship Id="rId87" Type="http://schemas.openxmlformats.org/officeDocument/2006/relationships/ctrlProp" Target="../ctrlProps/ctrlProp267.xml"/><Relationship Id="rId110" Type="http://schemas.openxmlformats.org/officeDocument/2006/relationships/ctrlProp" Target="../ctrlProps/ctrlProp290.xml"/><Relationship Id="rId115" Type="http://schemas.openxmlformats.org/officeDocument/2006/relationships/ctrlProp" Target="../ctrlProps/ctrlProp295.xml"/><Relationship Id="rId131" Type="http://schemas.openxmlformats.org/officeDocument/2006/relationships/ctrlProp" Target="../ctrlProps/ctrlProp311.xml"/><Relationship Id="rId136" Type="http://schemas.openxmlformats.org/officeDocument/2006/relationships/ctrlProp" Target="../ctrlProps/ctrlProp316.xml"/><Relationship Id="rId157" Type="http://schemas.openxmlformats.org/officeDocument/2006/relationships/ctrlProp" Target="../ctrlProps/ctrlProp337.xml"/><Relationship Id="rId178" Type="http://schemas.openxmlformats.org/officeDocument/2006/relationships/ctrlProp" Target="../ctrlProps/ctrlProp358.xml"/><Relationship Id="rId61" Type="http://schemas.openxmlformats.org/officeDocument/2006/relationships/ctrlProp" Target="../ctrlProps/ctrlProp241.xml"/><Relationship Id="rId82" Type="http://schemas.openxmlformats.org/officeDocument/2006/relationships/ctrlProp" Target="../ctrlProps/ctrlProp262.xml"/><Relationship Id="rId152" Type="http://schemas.openxmlformats.org/officeDocument/2006/relationships/ctrlProp" Target="../ctrlProps/ctrlProp332.xml"/><Relationship Id="rId173" Type="http://schemas.openxmlformats.org/officeDocument/2006/relationships/ctrlProp" Target="../ctrlProps/ctrlProp353.xml"/><Relationship Id="rId19" Type="http://schemas.openxmlformats.org/officeDocument/2006/relationships/ctrlProp" Target="../ctrlProps/ctrlProp199.xml"/><Relationship Id="rId14" Type="http://schemas.openxmlformats.org/officeDocument/2006/relationships/ctrlProp" Target="../ctrlProps/ctrlProp194.xml"/><Relationship Id="rId30" Type="http://schemas.openxmlformats.org/officeDocument/2006/relationships/ctrlProp" Target="../ctrlProps/ctrlProp210.xml"/><Relationship Id="rId35" Type="http://schemas.openxmlformats.org/officeDocument/2006/relationships/ctrlProp" Target="../ctrlProps/ctrlProp215.xml"/><Relationship Id="rId56" Type="http://schemas.openxmlformats.org/officeDocument/2006/relationships/ctrlProp" Target="../ctrlProps/ctrlProp236.xml"/><Relationship Id="rId77" Type="http://schemas.openxmlformats.org/officeDocument/2006/relationships/ctrlProp" Target="../ctrlProps/ctrlProp257.xml"/><Relationship Id="rId100" Type="http://schemas.openxmlformats.org/officeDocument/2006/relationships/ctrlProp" Target="../ctrlProps/ctrlProp280.xml"/><Relationship Id="rId105" Type="http://schemas.openxmlformats.org/officeDocument/2006/relationships/ctrlProp" Target="../ctrlProps/ctrlProp285.xml"/><Relationship Id="rId126" Type="http://schemas.openxmlformats.org/officeDocument/2006/relationships/ctrlProp" Target="../ctrlProps/ctrlProp306.xml"/><Relationship Id="rId147" Type="http://schemas.openxmlformats.org/officeDocument/2006/relationships/ctrlProp" Target="../ctrlProps/ctrlProp327.xml"/><Relationship Id="rId168" Type="http://schemas.openxmlformats.org/officeDocument/2006/relationships/ctrlProp" Target="../ctrlProps/ctrlProp348.xml"/><Relationship Id="rId8" Type="http://schemas.openxmlformats.org/officeDocument/2006/relationships/ctrlProp" Target="../ctrlProps/ctrlProp188.xml"/><Relationship Id="rId51" Type="http://schemas.openxmlformats.org/officeDocument/2006/relationships/ctrlProp" Target="../ctrlProps/ctrlProp231.xml"/><Relationship Id="rId72" Type="http://schemas.openxmlformats.org/officeDocument/2006/relationships/ctrlProp" Target="../ctrlProps/ctrlProp252.xml"/><Relationship Id="rId93" Type="http://schemas.openxmlformats.org/officeDocument/2006/relationships/ctrlProp" Target="../ctrlProps/ctrlProp273.xml"/><Relationship Id="rId98" Type="http://schemas.openxmlformats.org/officeDocument/2006/relationships/ctrlProp" Target="../ctrlProps/ctrlProp278.xml"/><Relationship Id="rId121" Type="http://schemas.openxmlformats.org/officeDocument/2006/relationships/ctrlProp" Target="../ctrlProps/ctrlProp301.xml"/><Relationship Id="rId142" Type="http://schemas.openxmlformats.org/officeDocument/2006/relationships/ctrlProp" Target="../ctrlProps/ctrlProp322.xml"/><Relationship Id="rId163" Type="http://schemas.openxmlformats.org/officeDocument/2006/relationships/ctrlProp" Target="../ctrlProps/ctrlProp343.xml"/><Relationship Id="rId3" Type="http://schemas.openxmlformats.org/officeDocument/2006/relationships/vmlDrawing" Target="../drawings/vmlDrawing4.vml"/><Relationship Id="rId25" Type="http://schemas.openxmlformats.org/officeDocument/2006/relationships/ctrlProp" Target="../ctrlProps/ctrlProp205.xml"/><Relationship Id="rId46" Type="http://schemas.openxmlformats.org/officeDocument/2006/relationships/ctrlProp" Target="../ctrlProps/ctrlProp226.xml"/><Relationship Id="rId67" Type="http://schemas.openxmlformats.org/officeDocument/2006/relationships/ctrlProp" Target="../ctrlProps/ctrlProp247.xml"/><Relationship Id="rId116" Type="http://schemas.openxmlformats.org/officeDocument/2006/relationships/ctrlProp" Target="../ctrlProps/ctrlProp296.xml"/><Relationship Id="rId137" Type="http://schemas.openxmlformats.org/officeDocument/2006/relationships/ctrlProp" Target="../ctrlProps/ctrlProp317.xml"/><Relationship Id="rId158" Type="http://schemas.openxmlformats.org/officeDocument/2006/relationships/ctrlProp" Target="../ctrlProps/ctrlProp338.xml"/><Relationship Id="rId20" Type="http://schemas.openxmlformats.org/officeDocument/2006/relationships/ctrlProp" Target="../ctrlProps/ctrlProp200.xml"/><Relationship Id="rId41" Type="http://schemas.openxmlformats.org/officeDocument/2006/relationships/ctrlProp" Target="../ctrlProps/ctrlProp221.xml"/><Relationship Id="rId62" Type="http://schemas.openxmlformats.org/officeDocument/2006/relationships/ctrlProp" Target="../ctrlProps/ctrlProp242.xml"/><Relationship Id="rId83" Type="http://schemas.openxmlformats.org/officeDocument/2006/relationships/ctrlProp" Target="../ctrlProps/ctrlProp263.xml"/><Relationship Id="rId88" Type="http://schemas.openxmlformats.org/officeDocument/2006/relationships/ctrlProp" Target="../ctrlProps/ctrlProp268.xml"/><Relationship Id="rId111" Type="http://schemas.openxmlformats.org/officeDocument/2006/relationships/ctrlProp" Target="../ctrlProps/ctrlProp291.xml"/><Relationship Id="rId132" Type="http://schemas.openxmlformats.org/officeDocument/2006/relationships/ctrlProp" Target="../ctrlProps/ctrlProp312.xml"/><Relationship Id="rId153" Type="http://schemas.openxmlformats.org/officeDocument/2006/relationships/ctrlProp" Target="../ctrlProps/ctrlProp333.xml"/><Relationship Id="rId174" Type="http://schemas.openxmlformats.org/officeDocument/2006/relationships/ctrlProp" Target="../ctrlProps/ctrlProp354.xml"/><Relationship Id="rId179" Type="http://schemas.openxmlformats.org/officeDocument/2006/relationships/ctrlProp" Target="../ctrlProps/ctrlProp359.xml"/><Relationship Id="rId15" Type="http://schemas.openxmlformats.org/officeDocument/2006/relationships/ctrlProp" Target="../ctrlProps/ctrlProp195.xml"/><Relationship Id="rId36" Type="http://schemas.openxmlformats.org/officeDocument/2006/relationships/ctrlProp" Target="../ctrlProps/ctrlProp216.xml"/><Relationship Id="rId57" Type="http://schemas.openxmlformats.org/officeDocument/2006/relationships/ctrlProp" Target="../ctrlProps/ctrlProp237.xml"/><Relationship Id="rId106" Type="http://schemas.openxmlformats.org/officeDocument/2006/relationships/ctrlProp" Target="../ctrlProps/ctrlProp286.xml"/><Relationship Id="rId127" Type="http://schemas.openxmlformats.org/officeDocument/2006/relationships/ctrlProp" Target="../ctrlProps/ctrlProp307.xml"/><Relationship Id="rId10" Type="http://schemas.openxmlformats.org/officeDocument/2006/relationships/ctrlProp" Target="../ctrlProps/ctrlProp190.xml"/><Relationship Id="rId31" Type="http://schemas.openxmlformats.org/officeDocument/2006/relationships/ctrlProp" Target="../ctrlProps/ctrlProp211.xml"/><Relationship Id="rId52" Type="http://schemas.openxmlformats.org/officeDocument/2006/relationships/ctrlProp" Target="../ctrlProps/ctrlProp232.xml"/><Relationship Id="rId73" Type="http://schemas.openxmlformats.org/officeDocument/2006/relationships/ctrlProp" Target="../ctrlProps/ctrlProp253.xml"/><Relationship Id="rId78" Type="http://schemas.openxmlformats.org/officeDocument/2006/relationships/ctrlProp" Target="../ctrlProps/ctrlProp258.xml"/><Relationship Id="rId94" Type="http://schemas.openxmlformats.org/officeDocument/2006/relationships/ctrlProp" Target="../ctrlProps/ctrlProp274.xml"/><Relationship Id="rId99" Type="http://schemas.openxmlformats.org/officeDocument/2006/relationships/ctrlProp" Target="../ctrlProps/ctrlProp279.xml"/><Relationship Id="rId101" Type="http://schemas.openxmlformats.org/officeDocument/2006/relationships/ctrlProp" Target="../ctrlProps/ctrlProp281.xml"/><Relationship Id="rId122" Type="http://schemas.openxmlformats.org/officeDocument/2006/relationships/ctrlProp" Target="../ctrlProps/ctrlProp302.xml"/><Relationship Id="rId143" Type="http://schemas.openxmlformats.org/officeDocument/2006/relationships/ctrlProp" Target="../ctrlProps/ctrlProp323.xml"/><Relationship Id="rId148" Type="http://schemas.openxmlformats.org/officeDocument/2006/relationships/ctrlProp" Target="../ctrlProps/ctrlProp328.xml"/><Relationship Id="rId164" Type="http://schemas.openxmlformats.org/officeDocument/2006/relationships/ctrlProp" Target="../ctrlProps/ctrlProp344.xml"/><Relationship Id="rId169" Type="http://schemas.openxmlformats.org/officeDocument/2006/relationships/ctrlProp" Target="../ctrlProps/ctrlProp34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36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8">
    <pageSetUpPr fitToPage="1"/>
  </sheetPr>
  <dimension ref="A1:K367"/>
  <sheetViews>
    <sheetView showGridLines="0" zoomScale="80" zoomScaleNormal="80" workbookViewId="0">
      <selection activeCell="F22" sqref="F22:G22"/>
    </sheetView>
  </sheetViews>
  <sheetFormatPr defaultColWidth="6.33203125" defaultRowHeight="12.75" x14ac:dyDescent="0.15"/>
  <cols>
    <col min="1" max="1" width="6.6640625" style="301" customWidth="1"/>
    <col min="2" max="2" width="25.6640625" style="321" customWidth="1"/>
    <col min="3" max="3" width="31" style="321" customWidth="1"/>
    <col min="4" max="4" width="20.5" style="321" customWidth="1"/>
    <col min="5" max="5" width="40.6640625" style="321" customWidth="1"/>
    <col min="6" max="6" width="29" style="321" customWidth="1"/>
    <col min="7" max="7" width="26" style="321" customWidth="1"/>
    <col min="8" max="10" width="5.33203125" style="301" hidden="1" customWidth="1"/>
    <col min="11" max="11" width="38.6640625" style="301" customWidth="1"/>
    <col min="12" max="16384" width="6.33203125" style="301"/>
  </cols>
  <sheetData>
    <row r="1" spans="1:11" ht="57.75" customHeight="1" x14ac:dyDescent="0.15">
      <c r="A1" s="416" t="s">
        <v>319</v>
      </c>
    </row>
    <row r="2" spans="1:11" s="302" customFormat="1" ht="20.25" customHeight="1" x14ac:dyDescent="0.15">
      <c r="A2" s="338" t="s">
        <v>521</v>
      </c>
      <c r="B2" s="322"/>
      <c r="C2" s="1380"/>
      <c r="D2" s="1380"/>
      <c r="E2" s="1380"/>
      <c r="F2" s="1380"/>
      <c r="G2" s="322"/>
    </row>
    <row r="3" spans="1:11" s="302" customFormat="1" ht="27" customHeight="1" x14ac:dyDescent="0.15">
      <c r="A3" s="338"/>
      <c r="B3" s="404"/>
      <c r="C3" s="1386" t="str">
        <f>'t1'!A1</f>
        <v>REGIONE VALLE D'AOSTA - anno 2024</v>
      </c>
      <c r="D3" s="1386"/>
      <c r="E3" s="1386"/>
      <c r="F3" s="1386"/>
      <c r="G3" s="322"/>
    </row>
    <row r="5" spans="1:11" x14ac:dyDescent="0.15">
      <c r="E5" s="301"/>
    </row>
    <row r="6" spans="1:11" ht="18" customHeight="1" x14ac:dyDescent="0.15">
      <c r="B6" s="1352" t="s">
        <v>389</v>
      </c>
      <c r="C6" s="1353"/>
      <c r="D6" s="1353"/>
      <c r="E6" s="1353"/>
      <c r="F6" s="1353"/>
      <c r="G6" s="1354"/>
    </row>
    <row r="7" spans="1:11" ht="6" customHeight="1" x14ac:dyDescent="0.15"/>
    <row r="8" spans="1:11" ht="19.5" hidden="1" customHeight="1" x14ac:dyDescent="0.15">
      <c r="A8" s="339"/>
      <c r="B8" s="321" t="s">
        <v>258</v>
      </c>
      <c r="D8" s="323"/>
      <c r="E8" s="1381"/>
      <c r="F8" s="1382"/>
      <c r="G8" s="1360"/>
    </row>
    <row r="9" spans="1:11" ht="29.1" hidden="1" customHeight="1" x14ac:dyDescent="0.15">
      <c r="A9" s="339"/>
      <c r="B9" s="303" t="s">
        <v>259</v>
      </c>
      <c r="C9" s="303"/>
      <c r="D9" s="602"/>
      <c r="E9" s="1383"/>
      <c r="F9" s="1384"/>
      <c r="G9" s="1385"/>
      <c r="K9" s="417"/>
    </row>
    <row r="10" spans="1:11" ht="29.1" customHeight="1" x14ac:dyDescent="0.15">
      <c r="A10" s="339"/>
      <c r="B10" s="303" t="s">
        <v>260</v>
      </c>
      <c r="C10" s="303"/>
      <c r="D10" s="323"/>
      <c r="E10" s="1381" t="s">
        <v>1097</v>
      </c>
      <c r="F10" s="1382"/>
      <c r="G10" s="1360"/>
      <c r="K10" s="417"/>
    </row>
    <row r="11" spans="1:11" ht="29.1" hidden="1" customHeight="1" x14ac:dyDescent="0.15">
      <c r="A11" s="339"/>
      <c r="B11" s="303" t="s">
        <v>261</v>
      </c>
      <c r="C11" s="303"/>
      <c r="D11" s="323"/>
      <c r="E11" s="1381"/>
      <c r="F11" s="1382"/>
      <c r="G11" s="1360"/>
      <c r="K11" s="417"/>
    </row>
    <row r="12" spans="1:11" ht="29.1" customHeight="1" x14ac:dyDescent="0.15">
      <c r="A12" s="339"/>
      <c r="B12" s="303" t="s">
        <v>262</v>
      </c>
      <c r="C12" s="303"/>
      <c r="D12" s="323"/>
      <c r="E12" s="1359" t="s">
        <v>1096</v>
      </c>
      <c r="F12" s="1382"/>
      <c r="G12" s="1360"/>
      <c r="K12" s="417"/>
    </row>
    <row r="13" spans="1:11" ht="29.1" hidden="1" customHeight="1" x14ac:dyDescent="0.15">
      <c r="A13" s="339"/>
      <c r="B13" s="303" t="s">
        <v>263</v>
      </c>
      <c r="C13" s="536"/>
      <c r="D13" s="537"/>
      <c r="E13" s="538"/>
      <c r="F13" s="539"/>
      <c r="G13" s="540"/>
      <c r="H13" s="458"/>
      <c r="I13" s="459"/>
      <c r="K13" s="418"/>
    </row>
    <row r="14" spans="1:11" s="305" customFormat="1" ht="20.25" hidden="1" customHeight="1" x14ac:dyDescent="0.15">
      <c r="A14" s="339"/>
      <c r="B14" s="304"/>
      <c r="C14" s="324" t="s">
        <v>264</v>
      </c>
      <c r="D14" s="305" t="s">
        <v>308</v>
      </c>
      <c r="E14" s="324" t="s">
        <v>265</v>
      </c>
      <c r="F14" s="324" t="s">
        <v>336</v>
      </c>
      <c r="G14" s="324"/>
    </row>
    <row r="15" spans="1:11" s="430" customFormat="1" ht="29.1" customHeight="1" x14ac:dyDescent="0.15">
      <c r="A15" s="321"/>
      <c r="B15" s="303" t="s">
        <v>57</v>
      </c>
      <c r="D15" s="1387" t="s">
        <v>1098</v>
      </c>
      <c r="E15" s="1388"/>
      <c r="F15" s="1388"/>
      <c r="G15" s="1389"/>
    </row>
    <row r="16" spans="1:11" ht="18" customHeight="1" x14ac:dyDescent="0.15">
      <c r="A16" s="339"/>
      <c r="B16" s="1352" t="s">
        <v>380</v>
      </c>
      <c r="C16" s="1353"/>
      <c r="D16" s="1353"/>
      <c r="E16" s="1353"/>
      <c r="F16" s="1353"/>
      <c r="G16" s="1354"/>
    </row>
    <row r="17" spans="1:11" s="306" customFormat="1" ht="15" customHeight="1" x14ac:dyDescent="0.15">
      <c r="A17" s="339"/>
      <c r="B17" s="325" t="s">
        <v>266</v>
      </c>
      <c r="C17" s="583"/>
      <c r="D17" s="583"/>
      <c r="E17" s="583"/>
      <c r="F17" s="583"/>
      <c r="G17" s="583"/>
    </row>
    <row r="18" spans="1:11" s="306" customFormat="1" ht="15" x14ac:dyDescent="0.15">
      <c r="A18" s="339"/>
      <c r="B18" s="326" t="s">
        <v>267</v>
      </c>
      <c r="C18" s="326"/>
      <c r="D18" s="326" t="s">
        <v>268</v>
      </c>
      <c r="E18" s="326"/>
      <c r="F18" s="327" t="s">
        <v>299</v>
      </c>
      <c r="G18" s="577"/>
    </row>
    <row r="19" spans="1:11" ht="22.5" customHeight="1" x14ac:dyDescent="0.15">
      <c r="A19" s="339"/>
      <c r="B19" s="1381" t="s">
        <v>1099</v>
      </c>
      <c r="C19" s="1382"/>
      <c r="D19" s="1381" t="s">
        <v>1100</v>
      </c>
      <c r="E19" s="1382"/>
      <c r="F19" s="1359" t="s">
        <v>1101</v>
      </c>
      <c r="G19" s="1360"/>
      <c r="K19" s="418"/>
    </row>
    <row r="20" spans="1:11" s="306" customFormat="1" ht="15" customHeight="1" x14ac:dyDescent="0.15">
      <c r="A20" s="339"/>
      <c r="B20" s="325" t="s">
        <v>269</v>
      </c>
      <c r="D20" s="326"/>
      <c r="E20" s="326"/>
      <c r="F20" s="583"/>
      <c r="G20" s="583"/>
    </row>
    <row r="21" spans="1:11" s="306" customFormat="1" ht="15" customHeight="1" x14ac:dyDescent="0.15">
      <c r="A21" s="339"/>
      <c r="B21" s="326" t="s">
        <v>267</v>
      </c>
      <c r="C21" s="326"/>
      <c r="D21" s="326" t="s">
        <v>268</v>
      </c>
      <c r="E21" s="326"/>
      <c r="F21" s="327" t="s">
        <v>299</v>
      </c>
      <c r="G21" s="578"/>
    </row>
    <row r="22" spans="1:11" ht="23.25" customHeight="1" x14ac:dyDescent="0.15">
      <c r="A22" s="339"/>
      <c r="B22" s="1361" t="s">
        <v>1102</v>
      </c>
      <c r="C22" s="1362"/>
      <c r="D22" s="1361" t="s">
        <v>1103</v>
      </c>
      <c r="E22" s="1362"/>
      <c r="F22" s="1361" t="s">
        <v>1104</v>
      </c>
      <c r="G22" s="1362"/>
      <c r="K22" s="418" t="str">
        <f>IF(OR(LEN(B22)&gt;0,LEN(D22)&gt;0),IF(LEN(F22)=0,"E' NECESSARIO COMPILARE IL CAMPO E-MAIL"," ")," ")</f>
        <v xml:space="preserve"> </v>
      </c>
    </row>
    <row r="23" spans="1:11" ht="23.25" customHeight="1" x14ac:dyDescent="0.15">
      <c r="A23" s="339"/>
      <c r="B23" s="1361" t="s">
        <v>1105</v>
      </c>
      <c r="C23" s="1362"/>
      <c r="D23" s="1361" t="s">
        <v>1106</v>
      </c>
      <c r="E23" s="1362"/>
      <c r="F23" s="1361" t="s">
        <v>1107</v>
      </c>
      <c r="G23" s="1362"/>
      <c r="K23" s="418" t="str">
        <f>IF(OR(LEN(B23)&gt;0,LEN(D23)&gt;0),IF(LEN(F23)=0,"E' NECESSARIO COMPILARE IL CAMPO E-MAIL"," ")," ")</f>
        <v xml:space="preserve"> </v>
      </c>
    </row>
    <row r="24" spans="1:11" ht="23.25" customHeight="1" x14ac:dyDescent="0.15">
      <c r="A24" s="339"/>
      <c r="B24" s="1363"/>
      <c r="C24" s="1362"/>
      <c r="D24" s="1363"/>
      <c r="E24" s="1362"/>
      <c r="F24" s="1363"/>
      <c r="G24" s="1362"/>
      <c r="K24" s="418" t="str">
        <f>IF(OR(LEN(B24)&gt;0,LEN(D24)&gt;0),IF(LEN(F24)=0,"E' NECESSARIO COMPILARE IL CAMPO E-MAIL"," ")," ")</f>
        <v xml:space="preserve"> </v>
      </c>
    </row>
    <row r="25" spans="1:11" ht="23.25" customHeight="1" x14ac:dyDescent="0.15">
      <c r="A25" s="339"/>
      <c r="B25" s="1363"/>
      <c r="C25" s="1362"/>
      <c r="D25" s="1363"/>
      <c r="E25" s="1362"/>
      <c r="F25" s="1363"/>
      <c r="G25" s="1362"/>
      <c r="K25" s="418" t="str">
        <f>IF(OR(LEN(B25)&gt;0,LEN(D25)&gt;0),IF(LEN(F25)=0,"E' NECESSARIO COMPILARE IL CAMPO E-MAIL"," ")," ")</f>
        <v xml:space="preserve"> </v>
      </c>
    </row>
    <row r="26" spans="1:11" ht="23.25" customHeight="1" x14ac:dyDescent="0.15">
      <c r="A26" s="339"/>
      <c r="B26" s="1363"/>
      <c r="C26" s="1362"/>
      <c r="D26" s="1363"/>
      <c r="E26" s="1362"/>
      <c r="F26" s="1363"/>
      <c r="G26" s="1362"/>
      <c r="K26" s="418" t="str">
        <f>IF(OR(LEN(B26)&gt;0,LEN(D26)&gt;0),IF(LEN(F26)=0,"E' NECESSARIO COMPILARE IL CAMPO E-MAIL"," ")," ")</f>
        <v xml:space="preserve"> </v>
      </c>
    </row>
    <row r="27" spans="1:11" ht="18" x14ac:dyDescent="0.15">
      <c r="A27" s="339"/>
      <c r="C27" s="328"/>
      <c r="D27" s="328"/>
      <c r="E27" s="323"/>
      <c r="F27" s="329"/>
      <c r="G27" s="329"/>
    </row>
    <row r="28" spans="1:11" ht="18" customHeight="1" x14ac:dyDescent="0.15">
      <c r="A28" s="339"/>
      <c r="B28" s="331" t="s">
        <v>270</v>
      </c>
      <c r="C28" s="330"/>
      <c r="D28" s="330"/>
      <c r="E28" s="332"/>
      <c r="F28" s="333"/>
      <c r="G28" s="333"/>
      <c r="H28" s="307"/>
    </row>
    <row r="29" spans="1:11" ht="13.5" customHeight="1" x14ac:dyDescent="0.15">
      <c r="A29" s="339"/>
      <c r="B29" s="330"/>
      <c r="C29" s="330"/>
      <c r="D29" s="330"/>
      <c r="E29" s="332"/>
      <c r="F29" s="332"/>
      <c r="G29" s="332"/>
      <c r="H29" s="307"/>
    </row>
    <row r="30" spans="1:11" ht="18" customHeight="1" x14ac:dyDescent="0.15">
      <c r="A30" s="339"/>
      <c r="B30" s="1352" t="s">
        <v>381</v>
      </c>
      <c r="C30" s="1353"/>
      <c r="D30" s="1353"/>
      <c r="E30" s="1353"/>
      <c r="F30" s="1353"/>
      <c r="G30" s="1354"/>
      <c r="H30" s="307"/>
    </row>
    <row r="31" spans="1:11" ht="8.1" customHeight="1" x14ac:dyDescent="0.15">
      <c r="A31" s="339"/>
      <c r="B31" s="618"/>
      <c r="C31" s="619"/>
      <c r="D31" s="619"/>
      <c r="E31" s="301"/>
      <c r="F31" s="619"/>
      <c r="G31" s="619"/>
    </row>
    <row r="32" spans="1:11" s="308" customFormat="1" ht="15.75" customHeight="1" x14ac:dyDescent="0.15">
      <c r="A32" s="339"/>
      <c r="B32" s="620" t="s">
        <v>630</v>
      </c>
      <c r="C32" s="620"/>
      <c r="D32" s="620" t="s">
        <v>631</v>
      </c>
      <c r="E32" s="620" t="s">
        <v>632</v>
      </c>
      <c r="F32" s="737" t="s">
        <v>633</v>
      </c>
      <c r="G32" s="619"/>
    </row>
    <row r="33" spans="1:11" ht="41.1" customHeight="1" x14ac:dyDescent="0.2">
      <c r="A33" s="339"/>
      <c r="B33" s="1355" t="s">
        <v>1108</v>
      </c>
      <c r="C33" s="1356"/>
      <c r="D33" s="537" t="s">
        <v>1109</v>
      </c>
      <c r="E33" s="541" t="s">
        <v>1110</v>
      </c>
      <c r="F33" s="542" t="s">
        <v>1111</v>
      </c>
      <c r="G33" s="619"/>
      <c r="K33" s="418" t="str">
        <f>IF(AND(LEN(B33)&gt;0,LEN(D33)&gt;0,LEN(E33)&gt;0,LEN(F33)&gt;0),"","COMPILARE TUTTI I DATI DEL RESPONSABILE CONTRASSEGNATI CON L'ASTERISCO")</f>
        <v/>
      </c>
    </row>
    <row r="34" spans="1:11" ht="20.25" hidden="1" customHeight="1" x14ac:dyDescent="0.2">
      <c r="A34" s="339"/>
      <c r="B34" s="1357"/>
      <c r="C34" s="1358"/>
      <c r="D34" s="621"/>
      <c r="E34" s="419"/>
      <c r="F34" s="623"/>
      <c r="G34" s="623"/>
    </row>
    <row r="35" spans="1:11" ht="18" customHeight="1" x14ac:dyDescent="0.15">
      <c r="A35" s="339"/>
      <c r="B35" s="624"/>
      <c r="C35" s="624"/>
      <c r="D35" s="619"/>
      <c r="E35" s="619"/>
      <c r="F35" s="301"/>
      <c r="G35" s="301"/>
    </row>
    <row r="36" spans="1:11" ht="18" customHeight="1" x14ac:dyDescent="0.15">
      <c r="A36" s="339"/>
      <c r="B36" s="1352" t="s">
        <v>538</v>
      </c>
      <c r="C36" s="1353"/>
      <c r="D36" s="1353"/>
      <c r="E36" s="1353"/>
      <c r="F36" s="1353"/>
      <c r="G36" s="1354"/>
      <c r="H36" s="307"/>
    </row>
    <row r="37" spans="1:11" ht="8.1" customHeight="1" x14ac:dyDescent="0.15">
      <c r="A37" s="339"/>
      <c r="B37" s="618"/>
      <c r="C37" s="619"/>
      <c r="D37" s="619"/>
      <c r="E37" s="301"/>
      <c r="F37" s="619"/>
      <c r="G37" s="619"/>
    </row>
    <row r="38" spans="1:11" s="308" customFormat="1" ht="15.75" customHeight="1" x14ac:dyDescent="0.15">
      <c r="A38" s="339"/>
      <c r="B38" s="620" t="s">
        <v>267</v>
      </c>
      <c r="C38" s="620"/>
      <c r="D38" s="620" t="s">
        <v>268</v>
      </c>
      <c r="E38" s="620" t="s">
        <v>299</v>
      </c>
      <c r="F38" s="308" t="s">
        <v>260</v>
      </c>
      <c r="G38" s="619"/>
    </row>
    <row r="39" spans="1:11" ht="23.25" customHeight="1" x14ac:dyDescent="0.2">
      <c r="A39" s="339"/>
      <c r="B39" s="1357" t="s">
        <v>1112</v>
      </c>
      <c r="C39" s="1358"/>
      <c r="D39" s="621" t="s">
        <v>1113</v>
      </c>
      <c r="E39" s="622" t="s">
        <v>1114</v>
      </c>
      <c r="F39" s="623" t="s">
        <v>1115</v>
      </c>
      <c r="G39" s="619"/>
      <c r="K39" s="418"/>
    </row>
    <row r="40" spans="1:11" ht="18" customHeight="1" x14ac:dyDescent="0.15">
      <c r="A40" s="339"/>
      <c r="B40" s="624"/>
      <c r="C40" s="624"/>
      <c r="D40" s="619"/>
      <c r="E40" s="619"/>
      <c r="F40" s="301"/>
      <c r="G40" s="301"/>
    </row>
    <row r="41" spans="1:11" ht="18" customHeight="1" x14ac:dyDescent="0.15">
      <c r="A41" s="339"/>
      <c r="B41" s="1352" t="s">
        <v>390</v>
      </c>
      <c r="C41" s="1353"/>
      <c r="D41" s="1353"/>
      <c r="E41" s="1353"/>
      <c r="F41" s="1353"/>
      <c r="G41" s="1354"/>
    </row>
    <row r="42" spans="1:11" ht="6" customHeight="1" x14ac:dyDescent="0.2">
      <c r="A42" s="339"/>
      <c r="B42" s="303"/>
      <c r="C42" s="303"/>
      <c r="F42" s="334"/>
      <c r="G42" s="334"/>
    </row>
    <row r="43" spans="1:11" ht="15" hidden="1" x14ac:dyDescent="0.15">
      <c r="A43" s="339"/>
      <c r="B43" s="309"/>
      <c r="C43" s="303"/>
      <c r="F43"/>
      <c r="G43"/>
      <c r="H43" s="340" t="b">
        <v>0</v>
      </c>
      <c r="I43" s="340" t="b">
        <v>0</v>
      </c>
    </row>
    <row r="44" spans="1:11" ht="29.25" hidden="1" customHeight="1" x14ac:dyDescent="0.15">
      <c r="A44" s="339">
        <v>1</v>
      </c>
      <c r="B44" s="1350" t="s">
        <v>273</v>
      </c>
      <c r="C44" s="1350"/>
      <c r="D44" s="1350"/>
      <c r="E44" s="1350"/>
      <c r="F44" s="477"/>
      <c r="G44" s="477"/>
      <c r="H44" s="405"/>
      <c r="I44" s="405"/>
      <c r="J44" s="420"/>
      <c r="K44" s="418"/>
    </row>
    <row r="45" spans="1:11" ht="8.25" hidden="1" customHeight="1" x14ac:dyDescent="0.15">
      <c r="B45" s="309"/>
      <c r="C45" s="303"/>
      <c r="F45" s="533"/>
      <c r="G45" s="533"/>
      <c r="H45" s="340"/>
      <c r="I45" s="340"/>
    </row>
    <row r="46" spans="1:11" ht="29.25" hidden="1" customHeight="1" x14ac:dyDescent="0.15">
      <c r="A46" s="339">
        <v>2</v>
      </c>
      <c r="B46" s="1350" t="s">
        <v>273</v>
      </c>
      <c r="C46" s="1350"/>
      <c r="D46" s="1350"/>
      <c r="E46" s="1350"/>
      <c r="F46" s="333"/>
      <c r="G46" s="333"/>
      <c r="H46" s="405"/>
      <c r="I46" s="405"/>
      <c r="J46" s="420"/>
      <c r="K46" s="418"/>
    </row>
    <row r="47" spans="1:11" ht="8.25" hidden="1" customHeight="1" x14ac:dyDescent="0.15">
      <c r="A47" s="339"/>
      <c r="B47" s="309"/>
      <c r="C47" s="303"/>
      <c r="F47" s="533"/>
      <c r="G47" s="533"/>
      <c r="H47" s="340"/>
      <c r="I47" s="340"/>
    </row>
    <row r="48" spans="1:11" ht="29.25" hidden="1" customHeight="1" x14ac:dyDescent="0.15">
      <c r="A48" s="339">
        <v>3</v>
      </c>
      <c r="B48" s="1350" t="s">
        <v>273</v>
      </c>
      <c r="C48" s="1350"/>
      <c r="D48" s="1350"/>
      <c r="E48" s="1350"/>
      <c r="F48" s="333"/>
      <c r="G48" s="333"/>
      <c r="H48" s="405"/>
      <c r="I48" s="405"/>
      <c r="J48" s="420"/>
      <c r="K48" s="418"/>
    </row>
    <row r="49" spans="1:11" ht="8.25" hidden="1" customHeight="1" x14ac:dyDescent="0.15">
      <c r="A49" s="339"/>
      <c r="B49" s="534"/>
      <c r="C49" s="534"/>
      <c r="D49" s="534"/>
      <c r="E49" s="534"/>
      <c r="F49" s="533"/>
      <c r="G49" s="533"/>
      <c r="H49" s="340"/>
      <c r="I49" s="340"/>
    </row>
    <row r="50" spans="1:11" ht="29.25" hidden="1" customHeight="1" x14ac:dyDescent="0.15">
      <c r="A50" s="339">
        <v>4</v>
      </c>
      <c r="B50" s="1350" t="s">
        <v>273</v>
      </c>
      <c r="C50" s="1350"/>
      <c r="D50" s="1350"/>
      <c r="E50" s="1350"/>
      <c r="F50" s="333"/>
      <c r="G50" s="333"/>
      <c r="H50" s="405"/>
      <c r="I50" s="405"/>
      <c r="J50" s="420"/>
      <c r="K50" s="418"/>
    </row>
    <row r="51" spans="1:11" ht="9.75" hidden="1" customHeight="1" x14ac:dyDescent="0.15">
      <c r="A51" s="339"/>
      <c r="H51" s="405"/>
      <c r="I51" s="405"/>
    </row>
    <row r="52" spans="1:11" ht="15" x14ac:dyDescent="0.2">
      <c r="A52" s="339"/>
      <c r="B52" s="301"/>
      <c r="C52" s="301"/>
      <c r="F52" s="334"/>
      <c r="G52" s="335" t="s">
        <v>275</v>
      </c>
    </row>
    <row r="53" spans="1:11" ht="27" customHeight="1" x14ac:dyDescent="0.15">
      <c r="A53" s="339">
        <v>5</v>
      </c>
      <c r="B53" s="1348" t="s">
        <v>496</v>
      </c>
      <c r="C53" s="1348"/>
      <c r="D53" s="1348"/>
      <c r="E53" s="1348"/>
      <c r="F53" s="1349"/>
      <c r="G53" s="483">
        <v>5</v>
      </c>
      <c r="K53" s="418" t="str">
        <f>IF(G53="","INSERIRE CAMPO OBBLIGATORIO",IF(G53=" ","INSERIRE NUMERO VALIDO",""))</f>
        <v/>
      </c>
    </row>
    <row r="54" spans="1:11" ht="4.5" customHeight="1" x14ac:dyDescent="0.15">
      <c r="A54" s="339"/>
      <c r="B54" s="309"/>
      <c r="C54" s="309"/>
      <c r="D54" s="571"/>
      <c r="E54" s="571"/>
      <c r="F54" s="571"/>
      <c r="G54" s="336"/>
    </row>
    <row r="55" spans="1:11" ht="15" x14ac:dyDescent="0.15">
      <c r="A55" s="339"/>
      <c r="B55" s="453"/>
      <c r="C55" s="453"/>
      <c r="D55" s="572"/>
      <c r="E55" s="572"/>
      <c r="F55" s="453"/>
      <c r="G55" s="335" t="s">
        <v>274</v>
      </c>
    </row>
    <row r="56" spans="1:11" ht="24" customHeight="1" x14ac:dyDescent="0.15">
      <c r="A56" s="339">
        <v>6</v>
      </c>
      <c r="B56" s="1348" t="s">
        <v>1048</v>
      </c>
      <c r="C56" s="1348"/>
      <c r="D56" s="1348"/>
      <c r="E56" s="1348"/>
      <c r="F56" s="1349"/>
      <c r="G56" s="483">
        <v>21</v>
      </c>
      <c r="K56" s="418" t="str">
        <f>IF(G56="","INSERIRE CAMPO OBBLIGATORIO",IF(G56=" ","INSERIRE NUMERO VALIDO",""))</f>
        <v/>
      </c>
    </row>
    <row r="57" spans="1:11" ht="4.5" customHeight="1" x14ac:dyDescent="0.15">
      <c r="A57" s="339"/>
      <c r="B57" s="309"/>
      <c r="C57" s="309"/>
      <c r="D57" s="572"/>
      <c r="E57" s="572"/>
      <c r="F57" s="453"/>
    </row>
    <row r="58" spans="1:11" ht="15" x14ac:dyDescent="0.15">
      <c r="A58" s="339"/>
      <c r="B58" s="453"/>
      <c r="C58" s="573"/>
      <c r="D58" s="574"/>
      <c r="E58" s="574"/>
      <c r="F58" s="575"/>
      <c r="G58" s="335" t="s">
        <v>274</v>
      </c>
    </row>
    <row r="59" spans="1:11" ht="24" customHeight="1" x14ac:dyDescent="0.15">
      <c r="A59" s="339">
        <v>7</v>
      </c>
      <c r="B59" s="1348" t="s">
        <v>1049</v>
      </c>
      <c r="C59" s="1348"/>
      <c r="D59" s="1348"/>
      <c r="E59" s="1348"/>
      <c r="F59" s="1349"/>
      <c r="G59" s="483">
        <v>40</v>
      </c>
      <c r="K59" s="418" t="str">
        <f>IF(G59="","INSERIRE CAMPO OBBLIGATORIO",IF(G59=" ","INSERIRE NUMERO VALIDO",""))</f>
        <v/>
      </c>
    </row>
    <row r="60" spans="1:11" ht="4.5" customHeight="1" x14ac:dyDescent="0.15">
      <c r="A60" s="339"/>
      <c r="B60" s="309"/>
      <c r="C60" s="309"/>
      <c r="D60" s="572"/>
      <c r="E60" s="572"/>
      <c r="F60" s="453"/>
      <c r="G60" s="321" t="s">
        <v>105</v>
      </c>
    </row>
    <row r="61" spans="1:11" ht="15" x14ac:dyDescent="0.15">
      <c r="A61" s="339"/>
      <c r="B61" s="453"/>
      <c r="C61" s="573"/>
      <c r="D61" s="574"/>
      <c r="E61" s="574"/>
      <c r="F61" s="575"/>
      <c r="G61" s="335" t="s">
        <v>274</v>
      </c>
    </row>
    <row r="62" spans="1:11" ht="24" customHeight="1" x14ac:dyDescent="0.15">
      <c r="A62" s="339">
        <v>8</v>
      </c>
      <c r="B62" s="1348" t="s">
        <v>443</v>
      </c>
      <c r="C62" s="1348"/>
      <c r="D62" s="1348"/>
      <c r="E62" s="1348"/>
      <c r="F62" s="1349"/>
      <c r="G62" s="483">
        <f>5+88</f>
        <v>93</v>
      </c>
      <c r="K62" s="418" t="str">
        <f>IF(G62="","INSERIRE CAMPO OBBLIGATORIO",IF(G62=" ","INSERIRE NUMERO VALIDO",""))</f>
        <v/>
      </c>
    </row>
    <row r="63" spans="1:11" ht="4.5" customHeight="1" x14ac:dyDescent="0.15">
      <c r="A63" s="339"/>
      <c r="B63" s="309"/>
      <c r="C63" s="309"/>
      <c r="D63" s="572"/>
      <c r="E63" s="572"/>
      <c r="F63" s="453"/>
      <c r="G63" s="321" t="s">
        <v>105</v>
      </c>
    </row>
    <row r="64" spans="1:11" ht="15" hidden="1" customHeight="1" x14ac:dyDescent="0.15">
      <c r="A64" s="447"/>
      <c r="B64" s="309"/>
      <c r="C64" s="309"/>
      <c r="D64" s="572"/>
      <c r="E64" s="572"/>
      <c r="F64" s="453"/>
      <c r="G64"/>
      <c r="H64"/>
      <c r="I64" s="454"/>
      <c r="J64" s="454"/>
    </row>
    <row r="65" spans="1:11" ht="15" hidden="1" customHeight="1" x14ac:dyDescent="0.15">
      <c r="A65" s="447"/>
      <c r="B65" s="309"/>
      <c r="C65" s="309"/>
      <c r="D65" s="572"/>
      <c r="E65" s="572"/>
      <c r="F65" s="453"/>
      <c r="G65"/>
      <c r="H65"/>
      <c r="I65" s="444"/>
      <c r="J65" s="454"/>
    </row>
    <row r="66" spans="1:11" ht="15" hidden="1" customHeight="1" x14ac:dyDescent="0.15">
      <c r="A66" s="447"/>
      <c r="B66" s="309"/>
      <c r="C66" s="309"/>
      <c r="D66" s="572"/>
      <c r="E66" s="572"/>
      <c r="F66" s="453"/>
      <c r="G66"/>
      <c r="H66"/>
      <c r="I66" s="444"/>
      <c r="J66" s="454"/>
    </row>
    <row r="67" spans="1:11" ht="15" hidden="1" customHeight="1" x14ac:dyDescent="0.15">
      <c r="A67" s="447"/>
      <c r="B67" s="309"/>
      <c r="C67" s="309"/>
      <c r="D67" s="572"/>
      <c r="E67" s="572"/>
      <c r="F67" s="453"/>
      <c r="G67"/>
      <c r="H67"/>
      <c r="I67" s="444"/>
      <c r="J67" s="454"/>
    </row>
    <row r="68" spans="1:11" ht="15" hidden="1" customHeight="1" x14ac:dyDescent="0.15">
      <c r="A68" s="447"/>
      <c r="B68" s="309"/>
      <c r="C68" s="309"/>
      <c r="D68" s="572"/>
      <c r="E68" s="572"/>
      <c r="F68" s="453"/>
      <c r="G68"/>
      <c r="H68"/>
      <c r="I68" s="444"/>
      <c r="J68" s="454"/>
    </row>
    <row r="69" spans="1:11" ht="15" hidden="1" customHeight="1" x14ac:dyDescent="0.15">
      <c r="A69" s="447"/>
      <c r="B69" s="309"/>
      <c r="C69" s="309"/>
      <c r="D69" s="572"/>
      <c r="E69" s="572"/>
      <c r="F69" s="453"/>
      <c r="G69"/>
      <c r="H69"/>
      <c r="I69" s="444"/>
      <c r="J69" s="454"/>
    </row>
    <row r="70" spans="1:11" ht="9.9499999999999993" hidden="1" customHeight="1" x14ac:dyDescent="0.15">
      <c r="A70" s="339"/>
      <c r="B70" s="309"/>
      <c r="C70" s="309"/>
      <c r="D70" s="572"/>
      <c r="E70" s="572"/>
      <c r="F70" s="453"/>
      <c r="G70" s="475"/>
    </row>
    <row r="71" spans="1:11" ht="9.9499999999999993" hidden="1" customHeight="1" x14ac:dyDescent="0.15">
      <c r="A71" s="339"/>
      <c r="B71" s="309"/>
      <c r="C71" s="309"/>
      <c r="D71" s="572"/>
      <c r="E71" s="572"/>
      <c r="F71" s="453"/>
      <c r="G71" s="475"/>
    </row>
    <row r="72" spans="1:11" ht="9.9499999999999993" hidden="1" customHeight="1" x14ac:dyDescent="0.15">
      <c r="A72" s="339"/>
      <c r="B72" s="309"/>
      <c r="C72" s="309"/>
      <c r="D72" s="572"/>
      <c r="E72" s="572"/>
      <c r="F72" s="453"/>
      <c r="G72" s="475"/>
    </row>
    <row r="73" spans="1:11" ht="9.9499999999999993" hidden="1" customHeight="1" x14ac:dyDescent="0.15">
      <c r="A73" s="339"/>
      <c r="B73" s="309"/>
      <c r="C73" s="309"/>
      <c r="D73" s="572"/>
      <c r="E73" s="572"/>
      <c r="F73" s="453"/>
      <c r="G73" s="475"/>
    </row>
    <row r="74" spans="1:11" ht="9.9499999999999993" hidden="1" customHeight="1" x14ac:dyDescent="0.15">
      <c r="A74" s="339"/>
      <c r="B74" s="309"/>
      <c r="C74" s="309"/>
      <c r="D74" s="572"/>
      <c r="E74" s="572"/>
      <c r="F74" s="453"/>
      <c r="G74" s="475"/>
    </row>
    <row r="75" spans="1:11" ht="9.9499999999999993" hidden="1" customHeight="1" x14ac:dyDescent="0.15">
      <c r="A75" s="339"/>
      <c r="B75" s="309"/>
      <c r="C75" s="309"/>
      <c r="D75" s="572"/>
      <c r="E75" s="572"/>
      <c r="F75" s="453"/>
      <c r="G75" s="475"/>
    </row>
    <row r="76" spans="1:11" ht="9.9499999999999993" hidden="1" customHeight="1" x14ac:dyDescent="0.15">
      <c r="A76" s="339"/>
      <c r="B76" s="309"/>
      <c r="C76" s="309"/>
      <c r="D76" s="572"/>
      <c r="E76" s="572"/>
      <c r="F76" s="453"/>
      <c r="G76" s="475"/>
    </row>
    <row r="77" spans="1:11" ht="9.9499999999999993" hidden="1" customHeight="1" x14ac:dyDescent="0.15">
      <c r="A77" s="339"/>
      <c r="B77" s="309"/>
      <c r="C77" s="309"/>
      <c r="D77" s="572"/>
      <c r="E77" s="572"/>
      <c r="F77" s="453"/>
      <c r="G77" s="475"/>
    </row>
    <row r="78" spans="1:11" ht="9.9499999999999993" hidden="1" customHeight="1" x14ac:dyDescent="0.15">
      <c r="A78" s="339"/>
      <c r="B78" s="309"/>
      <c r="C78" s="309"/>
      <c r="D78" s="572"/>
      <c r="E78" s="572"/>
      <c r="F78" s="453"/>
      <c r="G78" s="475"/>
    </row>
    <row r="79" spans="1:11" ht="9.9499999999999993" hidden="1" customHeight="1" x14ac:dyDescent="0.15">
      <c r="A79" s="339"/>
      <c r="B79" s="309"/>
      <c r="C79" s="309"/>
      <c r="D79" s="572"/>
      <c r="E79" s="572"/>
      <c r="F79" s="453"/>
      <c r="G79" s="445"/>
      <c r="K79" s="418"/>
    </row>
    <row r="80" spans="1:11" ht="17.25" hidden="1" customHeight="1" x14ac:dyDescent="0.15">
      <c r="A80" s="339"/>
      <c r="B80" s="309"/>
      <c r="C80" s="309"/>
      <c r="D80" s="572"/>
      <c r="E80" s="572"/>
      <c r="F80" s="453"/>
    </row>
    <row r="81" spans="1:11" ht="15" x14ac:dyDescent="0.15">
      <c r="A81" s="339"/>
      <c r="B81" s="453"/>
      <c r="C81" s="573"/>
      <c r="D81" s="574"/>
      <c r="E81" s="574"/>
      <c r="F81" s="575"/>
      <c r="G81" s="335" t="s">
        <v>365</v>
      </c>
    </row>
    <row r="82" spans="1:11" ht="27" customHeight="1" x14ac:dyDescent="0.15">
      <c r="A82" s="339">
        <v>9</v>
      </c>
      <c r="B82" s="1348" t="s">
        <v>444</v>
      </c>
      <c r="C82" s="1348"/>
      <c r="D82" s="1348"/>
      <c r="E82" s="1348"/>
      <c r="F82" s="1349"/>
      <c r="G82" s="483">
        <v>7924</v>
      </c>
      <c r="K82" s="418"/>
    </row>
    <row r="83" spans="1:11" ht="5.25" customHeight="1" x14ac:dyDescent="0.15">
      <c r="A83" s="339"/>
      <c r="B83" s="415"/>
      <c r="C83" s="415"/>
      <c r="D83" s="415"/>
      <c r="E83" s="415"/>
      <c r="F83" s="415"/>
      <c r="K83" s="418"/>
    </row>
    <row r="84" spans="1:11" ht="15" hidden="1" x14ac:dyDescent="0.15">
      <c r="A84" s="339"/>
      <c r="B84" s="453"/>
      <c r="C84" s="573"/>
      <c r="D84" s="574"/>
      <c r="E84" s="574"/>
      <c r="F84" s="575"/>
      <c r="G84" s="335"/>
    </row>
    <row r="85" spans="1:11" ht="27" hidden="1" customHeight="1" x14ac:dyDescent="0.15">
      <c r="A85" s="339">
        <v>10</v>
      </c>
      <c r="B85" s="1348" t="s">
        <v>273</v>
      </c>
      <c r="C85" s="1348"/>
      <c r="D85" s="1348"/>
      <c r="E85" s="1348"/>
      <c r="F85" s="1349"/>
      <c r="G85" s="576"/>
      <c r="K85" s="418"/>
    </row>
    <row r="86" spans="1:11" ht="5.25" hidden="1" customHeight="1" x14ac:dyDescent="0.15">
      <c r="A86" s="339"/>
      <c r="B86" s="415"/>
      <c r="C86" s="415"/>
      <c r="D86" s="415"/>
      <c r="E86" s="415"/>
      <c r="F86" s="415"/>
      <c r="K86" s="418"/>
    </row>
    <row r="87" spans="1:11" ht="15" hidden="1" x14ac:dyDescent="0.15">
      <c r="A87" s="339"/>
      <c r="B87" s="453"/>
      <c r="C87" s="573"/>
      <c r="D87" s="574"/>
      <c r="E87" s="574"/>
      <c r="F87" s="575"/>
      <c r="G87" s="335"/>
    </row>
    <row r="88" spans="1:11" ht="27" hidden="1" customHeight="1" x14ac:dyDescent="0.15">
      <c r="A88" s="339">
        <v>11</v>
      </c>
      <c r="B88" s="1348" t="s">
        <v>273</v>
      </c>
      <c r="C88" s="1348"/>
      <c r="D88" s="1348"/>
      <c r="E88" s="1348"/>
      <c r="F88" s="1349"/>
      <c r="G88" s="576"/>
      <c r="K88" s="418"/>
    </row>
    <row r="89" spans="1:11" ht="5.25" hidden="1" customHeight="1" x14ac:dyDescent="0.15">
      <c r="A89" s="339"/>
      <c r="B89" s="415"/>
      <c r="C89" s="415"/>
      <c r="D89" s="415"/>
      <c r="E89" s="415"/>
      <c r="F89" s="415"/>
      <c r="K89" s="418"/>
    </row>
    <row r="90" spans="1:11" ht="15" hidden="1" x14ac:dyDescent="0.15">
      <c r="A90" s="339"/>
      <c r="B90" s="453"/>
      <c r="C90" s="573"/>
      <c r="D90" s="574"/>
      <c r="E90" s="574"/>
      <c r="F90" s="575"/>
      <c r="G90" s="335"/>
    </row>
    <row r="91" spans="1:11" ht="27" hidden="1" customHeight="1" x14ac:dyDescent="0.15">
      <c r="A91" s="339">
        <v>12</v>
      </c>
      <c r="B91" s="1348" t="s">
        <v>273</v>
      </c>
      <c r="C91" s="1348"/>
      <c r="D91" s="1348"/>
      <c r="E91" s="1348"/>
      <c r="F91" s="1349"/>
      <c r="G91" s="576"/>
      <c r="K91" s="418"/>
    </row>
    <row r="92" spans="1:11" ht="4.5" hidden="1" customHeight="1" x14ac:dyDescent="0.15">
      <c r="A92" s="339"/>
      <c r="B92" s="415"/>
      <c r="C92" s="415"/>
      <c r="D92" s="415"/>
      <c r="E92" s="415"/>
      <c r="F92" s="415"/>
      <c r="G92" s="415"/>
      <c r="K92" s="418"/>
    </row>
    <row r="93" spans="1:11" ht="15" hidden="1" x14ac:dyDescent="0.15">
      <c r="A93" s="339"/>
      <c r="B93" s="453"/>
      <c r="C93" s="573"/>
      <c r="D93" s="574"/>
      <c r="E93" s="574"/>
      <c r="F93" s="575"/>
      <c r="G93" s="335"/>
    </row>
    <row r="94" spans="1:11" ht="27" hidden="1" customHeight="1" x14ac:dyDescent="0.15">
      <c r="A94" s="339">
        <v>13</v>
      </c>
      <c r="B94" s="1348" t="s">
        <v>273</v>
      </c>
      <c r="C94" s="1348"/>
      <c r="D94" s="1348"/>
      <c r="E94" s="1348"/>
      <c r="F94" s="1349"/>
      <c r="G94" s="576"/>
      <c r="K94" s="418"/>
    </row>
    <row r="95" spans="1:11" ht="4.5" hidden="1" customHeight="1" x14ac:dyDescent="0.15">
      <c r="A95" s="339"/>
      <c r="B95" s="415"/>
      <c r="C95" s="415"/>
      <c r="D95" s="415"/>
      <c r="E95" s="415"/>
      <c r="F95" s="415"/>
      <c r="G95" s="415"/>
      <c r="K95" s="418"/>
    </row>
    <row r="96" spans="1:11" ht="15" hidden="1" x14ac:dyDescent="0.15">
      <c r="A96" s="339"/>
      <c r="B96" s="453"/>
      <c r="C96" s="573"/>
      <c r="D96" s="574"/>
      <c r="E96" s="574"/>
      <c r="F96" s="575"/>
      <c r="G96" s="335"/>
    </row>
    <row r="97" spans="1:11" ht="27" hidden="1" customHeight="1" x14ac:dyDescent="0.15">
      <c r="A97" s="339">
        <v>30</v>
      </c>
      <c r="B97" s="1348" t="s">
        <v>273</v>
      </c>
      <c r="C97" s="1348"/>
      <c r="D97" s="1348"/>
      <c r="E97" s="1348"/>
      <c r="F97" s="1349"/>
      <c r="G97" s="576"/>
      <c r="K97" s="418"/>
    </row>
    <row r="98" spans="1:11" ht="4.5" hidden="1" customHeight="1" x14ac:dyDescent="0.15">
      <c r="A98" s="339"/>
      <c r="B98" s="415"/>
      <c r="C98" s="415"/>
      <c r="D98" s="415"/>
      <c r="E98" s="415"/>
      <c r="F98" s="415"/>
      <c r="G98" s="415"/>
      <c r="K98" s="418"/>
    </row>
    <row r="99" spans="1:11" ht="15" x14ac:dyDescent="0.15">
      <c r="A99" s="339"/>
      <c r="B99" s="453"/>
      <c r="C99" s="573"/>
      <c r="D99" s="574"/>
      <c r="E99" s="574"/>
      <c r="F99" s="575"/>
      <c r="G99" s="335" t="s">
        <v>275</v>
      </c>
    </row>
    <row r="100" spans="1:11" ht="27" customHeight="1" x14ac:dyDescent="0.15">
      <c r="A100" s="339">
        <v>31</v>
      </c>
      <c r="B100" s="1348" t="s">
        <v>497</v>
      </c>
      <c r="C100" s="1348"/>
      <c r="D100" s="1348"/>
      <c r="E100" s="1348"/>
      <c r="F100" s="1349"/>
      <c r="G100" s="483"/>
      <c r="K100" s="418"/>
    </row>
    <row r="101" spans="1:11" ht="4.5" customHeight="1" x14ac:dyDescent="0.15">
      <c r="A101" s="339"/>
      <c r="B101" s="415"/>
      <c r="C101" s="415"/>
      <c r="D101" s="415"/>
      <c r="E101" s="415"/>
      <c r="F101" s="415"/>
      <c r="G101" s="415"/>
      <c r="K101" s="418"/>
    </row>
    <row r="102" spans="1:11" ht="15" x14ac:dyDescent="0.15">
      <c r="A102" s="339"/>
      <c r="B102" s="453"/>
      <c r="C102" s="573"/>
      <c r="D102" s="574"/>
      <c r="E102" s="574"/>
      <c r="F102" s="575"/>
      <c r="G102" s="335" t="s">
        <v>275</v>
      </c>
    </row>
    <row r="103" spans="1:11" ht="27" customHeight="1" x14ac:dyDescent="0.15">
      <c r="A103" s="339">
        <v>32</v>
      </c>
      <c r="B103" s="1348" t="s">
        <v>1050</v>
      </c>
      <c r="C103" s="1348"/>
      <c r="D103" s="1348"/>
      <c r="E103" s="1348"/>
      <c r="F103" s="1349"/>
      <c r="G103" s="483"/>
      <c r="K103" s="418"/>
    </row>
    <row r="104" spans="1:11" ht="4.5" customHeight="1" x14ac:dyDescent="0.15">
      <c r="A104" s="339"/>
      <c r="B104" s="415"/>
      <c r="C104" s="415"/>
      <c r="D104" s="415"/>
      <c r="E104" s="415"/>
      <c r="F104" s="415"/>
      <c r="G104" s="415"/>
      <c r="K104" s="418"/>
    </row>
    <row r="105" spans="1:11" ht="15" x14ac:dyDescent="0.15">
      <c r="A105" s="339"/>
      <c r="B105" s="453"/>
      <c r="C105" s="573"/>
      <c r="D105" s="574"/>
      <c r="E105" s="574"/>
      <c r="F105" s="575"/>
      <c r="G105" s="335" t="s">
        <v>275</v>
      </c>
    </row>
    <row r="106" spans="1:11" ht="27" customHeight="1" x14ac:dyDescent="0.15">
      <c r="A106" s="339">
        <v>33</v>
      </c>
      <c r="B106" s="1348" t="s">
        <v>1089</v>
      </c>
      <c r="C106" s="1348"/>
      <c r="D106" s="1348"/>
      <c r="E106" s="1348"/>
      <c r="F106" s="1349"/>
      <c r="G106" s="483">
        <v>288</v>
      </c>
      <c r="K106" s="418"/>
    </row>
    <row r="107" spans="1:11" ht="4.5" customHeight="1" x14ac:dyDescent="0.15">
      <c r="A107" s="339"/>
      <c r="B107" s="415"/>
      <c r="C107" s="415"/>
      <c r="D107" s="415"/>
      <c r="E107" s="415"/>
      <c r="F107" s="415"/>
      <c r="G107" s="415"/>
      <c r="K107" s="418"/>
    </row>
    <row r="108" spans="1:11" ht="15" x14ac:dyDescent="0.15">
      <c r="A108" s="339"/>
      <c r="B108" s="453"/>
      <c r="C108" s="573"/>
      <c r="D108" s="574"/>
      <c r="E108" s="574"/>
      <c r="F108" s="575"/>
      <c r="G108" s="335" t="s">
        <v>275</v>
      </c>
    </row>
    <row r="109" spans="1:11" ht="27" customHeight="1" x14ac:dyDescent="0.15">
      <c r="A109" s="339">
        <v>34</v>
      </c>
      <c r="B109" s="1348" t="s">
        <v>1090</v>
      </c>
      <c r="C109" s="1348"/>
      <c r="D109" s="1348"/>
      <c r="E109" s="1348"/>
      <c r="F109" s="1349"/>
      <c r="G109" s="483">
        <v>33</v>
      </c>
      <c r="K109" s="418"/>
    </row>
    <row r="110" spans="1:11" ht="4.5" customHeight="1" x14ac:dyDescent="0.15">
      <c r="A110" s="339"/>
      <c r="B110" s="415"/>
      <c r="C110" s="415"/>
      <c r="D110" s="415"/>
      <c r="E110" s="415"/>
      <c r="F110" s="415"/>
      <c r="G110" s="415"/>
      <c r="K110" s="418"/>
    </row>
    <row r="111" spans="1:11" ht="15" x14ac:dyDescent="0.15">
      <c r="A111" s="339"/>
      <c r="B111" s="453"/>
      <c r="C111" s="573"/>
      <c r="D111" s="574"/>
      <c r="E111" s="574"/>
      <c r="F111" s="575"/>
      <c r="G111" s="667" t="s">
        <v>275</v>
      </c>
    </row>
    <row r="112" spans="1:11" ht="27" customHeight="1" x14ac:dyDescent="0.15">
      <c r="A112" s="339">
        <v>35</v>
      </c>
      <c r="B112" s="1351" t="s">
        <v>610</v>
      </c>
      <c r="C112" s="1351"/>
      <c r="D112" s="1351"/>
      <c r="E112" s="1351"/>
      <c r="F112" s="1351"/>
      <c r="G112" s="689"/>
      <c r="K112" s="418"/>
    </row>
    <row r="113" spans="1:11" ht="4.5" customHeight="1" x14ac:dyDescent="0.15">
      <c r="A113" s="339"/>
      <c r="B113" s="415"/>
      <c r="C113" s="415"/>
      <c r="D113" s="415"/>
      <c r="E113" s="415"/>
      <c r="F113" s="415"/>
      <c r="G113" s="415"/>
      <c r="K113" s="418"/>
    </row>
    <row r="114" spans="1:11" ht="15" x14ac:dyDescent="0.15">
      <c r="A114" s="339"/>
      <c r="B114" s="453"/>
      <c r="C114" s="573"/>
      <c r="D114" s="574"/>
      <c r="E114" s="574"/>
      <c r="F114" s="575"/>
      <c r="G114" s="667" t="s">
        <v>275</v>
      </c>
    </row>
    <row r="115" spans="1:11" ht="27" customHeight="1" x14ac:dyDescent="0.15">
      <c r="A115" s="339">
        <v>36</v>
      </c>
      <c r="B115" s="1351" t="s">
        <v>611</v>
      </c>
      <c r="C115" s="1351"/>
      <c r="D115" s="1351"/>
      <c r="E115" s="1351"/>
      <c r="F115" s="1351"/>
      <c r="G115" s="689"/>
      <c r="K115" s="418"/>
    </row>
    <row r="116" spans="1:11" ht="4.5" customHeight="1" x14ac:dyDescent="0.15">
      <c r="A116" s="339"/>
      <c r="B116" s="415"/>
      <c r="C116" s="415"/>
      <c r="D116" s="415"/>
      <c r="E116" s="415"/>
      <c r="F116" s="415"/>
      <c r="G116" s="415"/>
      <c r="K116" s="418"/>
    </row>
    <row r="117" spans="1:11" ht="15" x14ac:dyDescent="0.15">
      <c r="A117" s="339"/>
      <c r="B117" s="690"/>
      <c r="C117" s="690"/>
      <c r="D117" s="690"/>
      <c r="E117" s="690"/>
      <c r="F117" s="690"/>
      <c r="G117" s="667" t="s">
        <v>275</v>
      </c>
    </row>
    <row r="118" spans="1:11" ht="27.6" customHeight="1" x14ac:dyDescent="0.15">
      <c r="A118" s="339">
        <v>37</v>
      </c>
      <c r="B118" s="1351" t="s">
        <v>1051</v>
      </c>
      <c r="C118" s="1351"/>
      <c r="D118" s="1351"/>
      <c r="E118" s="1351"/>
      <c r="F118" s="1351"/>
      <c r="G118" s="689"/>
      <c r="K118" s="418"/>
    </row>
    <row r="119" spans="1:11" ht="4.5" customHeight="1" x14ac:dyDescent="0.15">
      <c r="A119" s="339"/>
      <c r="B119" s="415"/>
      <c r="C119" s="415"/>
      <c r="D119" s="415"/>
      <c r="E119" s="415"/>
      <c r="F119" s="415"/>
      <c r="G119" s="415"/>
      <c r="K119" s="418"/>
    </row>
    <row r="120" spans="1:11" ht="15" x14ac:dyDescent="0.15">
      <c r="A120" s="339"/>
      <c r="B120" s="453"/>
      <c r="C120" s="573"/>
      <c r="D120" s="574"/>
      <c r="E120" s="574"/>
      <c r="F120" s="575"/>
      <c r="G120" s="667" t="s">
        <v>365</v>
      </c>
    </row>
    <row r="121" spans="1:11" ht="27" customHeight="1" x14ac:dyDescent="0.15">
      <c r="A121" s="339">
        <v>38</v>
      </c>
      <c r="B121" s="1348" t="s">
        <v>642</v>
      </c>
      <c r="C121" s="1348"/>
      <c r="D121" s="1348"/>
      <c r="E121" s="1348"/>
      <c r="F121" s="1349"/>
      <c r="G121" s="689">
        <v>1</v>
      </c>
      <c r="K121" s="418"/>
    </row>
    <row r="122" spans="1:11" ht="4.5" customHeight="1" x14ac:dyDescent="0.15">
      <c r="A122" s="339"/>
      <c r="B122" s="415"/>
      <c r="C122" s="415"/>
      <c r="D122" s="415"/>
      <c r="E122" s="415"/>
      <c r="F122" s="415"/>
      <c r="G122" s="415"/>
      <c r="K122" s="418"/>
    </row>
    <row r="123" spans="1:11" ht="15" x14ac:dyDescent="0.15">
      <c r="A123" s="339"/>
      <c r="B123" s="453"/>
      <c r="C123" s="573"/>
      <c r="D123" s="574"/>
      <c r="E123" s="574"/>
      <c r="F123" s="575"/>
      <c r="G123" s="667" t="s">
        <v>365</v>
      </c>
    </row>
    <row r="124" spans="1:11" ht="27" customHeight="1" x14ac:dyDescent="0.15">
      <c r="A124" s="339">
        <v>39</v>
      </c>
      <c r="B124" s="1348" t="s">
        <v>643</v>
      </c>
      <c r="C124" s="1348"/>
      <c r="D124" s="1348"/>
      <c r="E124" s="1348"/>
      <c r="F124" s="1349"/>
      <c r="G124" s="689">
        <v>48750</v>
      </c>
      <c r="K124" s="418"/>
    </row>
    <row r="125" spans="1:11" ht="4.5" customHeight="1" x14ac:dyDescent="0.15">
      <c r="A125" s="339"/>
      <c r="B125" s="415"/>
      <c r="C125" s="415"/>
      <c r="D125" s="415"/>
      <c r="E125" s="415"/>
      <c r="F125" s="415"/>
      <c r="G125" s="415"/>
      <c r="K125" s="418"/>
    </row>
    <row r="126" spans="1:11" ht="15" x14ac:dyDescent="0.15">
      <c r="A126" s="339"/>
      <c r="B126" s="453"/>
      <c r="C126" s="573"/>
      <c r="D126" s="574"/>
      <c r="E126" s="574"/>
      <c r="F126" s="575"/>
      <c r="G126" s="667" t="s">
        <v>365</v>
      </c>
    </row>
    <row r="127" spans="1:11" ht="27" customHeight="1" x14ac:dyDescent="0.15">
      <c r="A127" s="339">
        <v>40</v>
      </c>
      <c r="B127" s="1348" t="s">
        <v>1052</v>
      </c>
      <c r="C127" s="1348"/>
      <c r="D127" s="1348"/>
      <c r="E127" s="1348"/>
      <c r="F127" s="1349"/>
      <c r="G127" s="689"/>
      <c r="K127" s="418"/>
    </row>
    <row r="128" spans="1:11" ht="4.5" hidden="1" customHeight="1" x14ac:dyDescent="0.15">
      <c r="A128" s="339"/>
      <c r="B128" s="415"/>
      <c r="C128" s="415"/>
      <c r="D128" s="415"/>
      <c r="E128" s="415"/>
      <c r="F128" s="415"/>
      <c r="G128" s="415"/>
      <c r="K128" s="418"/>
    </row>
    <row r="129" spans="1:11" ht="15" hidden="1" x14ac:dyDescent="0.15">
      <c r="A129" s="339"/>
      <c r="B129" s="453"/>
      <c r="C129" s="573"/>
      <c r="D129" s="574"/>
      <c r="E129" s="574"/>
      <c r="F129" s="575"/>
      <c r="G129" s="335"/>
    </row>
    <row r="130" spans="1:11" ht="27" hidden="1" customHeight="1" x14ac:dyDescent="0.15">
      <c r="A130" s="339">
        <v>41</v>
      </c>
      <c r="B130" s="1348" t="s">
        <v>273</v>
      </c>
      <c r="C130" s="1348"/>
      <c r="D130" s="1348"/>
      <c r="E130" s="1348"/>
      <c r="F130" s="1349"/>
      <c r="G130" s="576"/>
      <c r="K130" s="418"/>
    </row>
    <row r="131" spans="1:11" ht="4.5" hidden="1" customHeight="1" x14ac:dyDescent="0.15">
      <c r="A131" s="339"/>
      <c r="B131" s="415"/>
      <c r="C131" s="415"/>
      <c r="D131" s="415"/>
      <c r="E131" s="415"/>
      <c r="F131" s="415"/>
      <c r="G131" s="415"/>
      <c r="K131" s="418"/>
    </row>
    <row r="132" spans="1:11" ht="15" hidden="1" x14ac:dyDescent="0.15">
      <c r="A132" s="339"/>
      <c r="B132" s="453"/>
      <c r="C132" s="573"/>
      <c r="D132" s="574"/>
      <c r="E132" s="574"/>
      <c r="F132" s="575"/>
      <c r="G132" s="335"/>
    </row>
    <row r="133" spans="1:11" ht="27" hidden="1" customHeight="1" x14ac:dyDescent="0.15">
      <c r="A133" s="339">
        <v>42</v>
      </c>
      <c r="B133" s="1348" t="s">
        <v>273</v>
      </c>
      <c r="C133" s="1348"/>
      <c r="D133" s="1348"/>
      <c r="E133" s="1348"/>
      <c r="F133" s="1349"/>
      <c r="G133" s="576"/>
      <c r="K133" s="418"/>
    </row>
    <row r="134" spans="1:11" ht="4.5" hidden="1" customHeight="1" x14ac:dyDescent="0.15">
      <c r="A134" s="339"/>
      <c r="B134" s="415"/>
      <c r="C134" s="415"/>
      <c r="D134" s="415"/>
      <c r="E134" s="415"/>
      <c r="F134" s="415"/>
      <c r="G134" s="415"/>
      <c r="K134" s="418"/>
    </row>
    <row r="135" spans="1:11" ht="15" hidden="1" x14ac:dyDescent="0.15">
      <c r="A135" s="339"/>
      <c r="B135" s="453"/>
      <c r="C135" s="573"/>
      <c r="D135" s="574"/>
      <c r="E135" s="574"/>
      <c r="F135" s="575"/>
      <c r="G135" s="335"/>
    </row>
    <row r="136" spans="1:11" ht="27" hidden="1" customHeight="1" x14ac:dyDescent="0.15">
      <c r="A136" s="339">
        <v>43</v>
      </c>
      <c r="B136" s="1348" t="s">
        <v>273</v>
      </c>
      <c r="C136" s="1348"/>
      <c r="D136" s="1348"/>
      <c r="E136" s="1348"/>
      <c r="F136" s="1349"/>
      <c r="G136" s="576"/>
      <c r="K136" s="418"/>
    </row>
    <row r="137" spans="1:11" ht="4.5" hidden="1" customHeight="1" x14ac:dyDescent="0.15">
      <c r="A137" s="339"/>
      <c r="B137" s="415"/>
      <c r="C137" s="415"/>
      <c r="D137" s="415"/>
      <c r="E137" s="415"/>
      <c r="F137" s="415"/>
      <c r="G137" s="415"/>
      <c r="K137" s="418"/>
    </row>
    <row r="138" spans="1:11" ht="15" hidden="1" x14ac:dyDescent="0.15">
      <c r="A138" s="339"/>
      <c r="B138" s="453"/>
      <c r="C138" s="573"/>
      <c r="D138" s="574"/>
      <c r="E138" s="574"/>
      <c r="F138" s="575"/>
      <c r="G138" s="335"/>
    </row>
    <row r="139" spans="1:11" ht="27" hidden="1" customHeight="1" x14ac:dyDescent="0.15">
      <c r="A139" s="339">
        <v>44</v>
      </c>
      <c r="B139" s="1348" t="s">
        <v>273</v>
      </c>
      <c r="C139" s="1348"/>
      <c r="D139" s="1348"/>
      <c r="E139" s="1348"/>
      <c r="F139" s="1349"/>
      <c r="G139" s="576"/>
      <c r="K139" s="418"/>
    </row>
    <row r="140" spans="1:11" ht="4.5" hidden="1" customHeight="1" x14ac:dyDescent="0.15">
      <c r="A140" s="339"/>
      <c r="B140" s="415"/>
      <c r="C140" s="415"/>
      <c r="D140" s="415"/>
      <c r="E140" s="415"/>
      <c r="F140" s="415"/>
      <c r="G140" s="415"/>
      <c r="K140" s="418"/>
    </row>
    <row r="141" spans="1:11" ht="15" hidden="1" x14ac:dyDescent="0.15">
      <c r="A141" s="339"/>
      <c r="B141" s="453"/>
      <c r="C141" s="573"/>
      <c r="D141" s="574"/>
      <c r="E141" s="574"/>
      <c r="F141" s="575"/>
      <c r="G141" s="335"/>
    </row>
    <row r="142" spans="1:11" ht="27" hidden="1" customHeight="1" x14ac:dyDescent="0.15">
      <c r="A142" s="339">
        <v>45</v>
      </c>
      <c r="B142" s="1348" t="s">
        <v>273</v>
      </c>
      <c r="C142" s="1348"/>
      <c r="D142" s="1348"/>
      <c r="E142" s="1348"/>
      <c r="F142" s="1349"/>
      <c r="G142" s="576"/>
      <c r="K142" s="418"/>
    </row>
    <row r="143" spans="1:11" ht="4.5" hidden="1" customHeight="1" x14ac:dyDescent="0.15">
      <c r="A143" s="339"/>
      <c r="B143" s="415"/>
      <c r="C143" s="415"/>
      <c r="D143" s="415"/>
      <c r="E143" s="415"/>
      <c r="F143" s="415"/>
      <c r="G143" s="415"/>
      <c r="K143" s="418"/>
    </row>
    <row r="144" spans="1:11" ht="15" hidden="1" x14ac:dyDescent="0.15">
      <c r="A144" s="339"/>
      <c r="B144" s="453"/>
      <c r="C144" s="573"/>
      <c r="D144" s="574"/>
      <c r="E144" s="574"/>
      <c r="F144" s="575"/>
      <c r="G144" s="335"/>
    </row>
    <row r="145" spans="1:11" ht="27" hidden="1" customHeight="1" x14ac:dyDescent="0.15">
      <c r="A145" s="339">
        <v>46</v>
      </c>
      <c r="B145" s="1348" t="s">
        <v>273</v>
      </c>
      <c r="C145" s="1348"/>
      <c r="D145" s="1348"/>
      <c r="E145" s="1348"/>
      <c r="F145" s="1349"/>
      <c r="G145" s="576"/>
      <c r="K145" s="418"/>
    </row>
    <row r="146" spans="1:11" ht="4.3499999999999996" hidden="1" customHeight="1" x14ac:dyDescent="0.15">
      <c r="A146" s="339"/>
      <c r="B146" s="415"/>
      <c r="C146" s="415"/>
      <c r="D146" s="415"/>
      <c r="E146" s="415"/>
      <c r="F146" s="415"/>
      <c r="G146" s="619"/>
      <c r="K146" s="418"/>
    </row>
    <row r="147" spans="1:11" ht="15" hidden="1" customHeight="1" x14ac:dyDescent="0.15">
      <c r="A147" s="339"/>
      <c r="B147" s="415"/>
      <c r="C147" s="415"/>
      <c r="D147" s="415"/>
      <c r="E147" s="415"/>
      <c r="F147" s="415"/>
      <c r="G147" s="667"/>
      <c r="K147" s="418"/>
    </row>
    <row r="148" spans="1:11" ht="27" hidden="1" customHeight="1" x14ac:dyDescent="0.15">
      <c r="A148" s="339">
        <v>47</v>
      </c>
      <c r="B148" s="1348" t="s">
        <v>273</v>
      </c>
      <c r="C148" s="1348"/>
      <c r="D148" s="1348"/>
      <c r="E148" s="1348"/>
      <c r="F148" s="1349"/>
      <c r="G148" s="576"/>
      <c r="K148" s="418"/>
    </row>
    <row r="149" spans="1:11" ht="4.3499999999999996" hidden="1" customHeight="1" x14ac:dyDescent="0.15">
      <c r="A149" s="339"/>
      <c r="B149" s="301"/>
      <c r="C149" s="415"/>
      <c r="D149" s="415"/>
      <c r="E149" s="415"/>
      <c r="F149" s="415"/>
      <c r="G149" s="415"/>
      <c r="K149" s="418"/>
    </row>
    <row r="150" spans="1:11" ht="15" hidden="1" customHeight="1" x14ac:dyDescent="0.15">
      <c r="A150" s="339"/>
      <c r="B150" s="415"/>
      <c r="C150" s="415"/>
      <c r="D150" s="415"/>
      <c r="E150" s="415"/>
      <c r="F150" s="415"/>
      <c r="G150" s="667"/>
      <c r="K150" s="418"/>
    </row>
    <row r="151" spans="1:11" ht="27" hidden="1" customHeight="1" x14ac:dyDescent="0.15">
      <c r="A151" s="339">
        <v>48</v>
      </c>
      <c r="B151" s="1348" t="s">
        <v>273</v>
      </c>
      <c r="C151" s="1348"/>
      <c r="D151" s="1348"/>
      <c r="E151" s="1348"/>
      <c r="F151" s="1349"/>
      <c r="G151" s="576"/>
      <c r="K151" s="418"/>
    </row>
    <row r="152" spans="1:11" ht="3.6" customHeight="1" x14ac:dyDescent="0.15">
      <c r="A152" s="339"/>
      <c r="B152" s="415"/>
      <c r="C152" s="415"/>
      <c r="D152" s="415"/>
      <c r="E152" s="415"/>
      <c r="F152" s="415"/>
      <c r="G152" s="619"/>
      <c r="K152" s="418"/>
    </row>
    <row r="153" spans="1:11" ht="15" customHeight="1" x14ac:dyDescent="0.15">
      <c r="A153" s="339"/>
      <c r="B153" s="415"/>
      <c r="C153" s="415"/>
      <c r="D153" s="415"/>
      <c r="E153" s="415"/>
      <c r="F153" s="415"/>
      <c r="G153" s="667" t="s">
        <v>365</v>
      </c>
      <c r="K153" s="418"/>
    </row>
    <row r="154" spans="1:11" ht="27" customHeight="1" x14ac:dyDescent="0.15">
      <c r="A154" s="339">
        <v>49</v>
      </c>
      <c r="B154" s="1348" t="s">
        <v>772</v>
      </c>
      <c r="C154" s="1348"/>
      <c r="D154" s="1348"/>
      <c r="E154" s="1348"/>
      <c r="F154" s="1349"/>
      <c r="G154" s="689"/>
      <c r="K154" s="418"/>
    </row>
    <row r="155" spans="1:11" ht="4.5" hidden="1" customHeight="1" x14ac:dyDescent="0.15">
      <c r="A155" s="339"/>
      <c r="B155" s="415"/>
      <c r="C155" s="415"/>
      <c r="D155" s="415"/>
      <c r="E155" s="415"/>
      <c r="F155" s="415"/>
      <c r="G155" s="415"/>
      <c r="K155" s="418"/>
    </row>
    <row r="156" spans="1:11" ht="15" hidden="1" x14ac:dyDescent="0.15">
      <c r="A156" s="339"/>
      <c r="B156" s="453"/>
      <c r="C156" s="573"/>
      <c r="D156" s="574"/>
      <c r="E156" s="574"/>
      <c r="F156" s="575"/>
      <c r="G156" s="667"/>
    </row>
    <row r="157" spans="1:11" ht="27" hidden="1" customHeight="1" x14ac:dyDescent="0.15">
      <c r="A157" s="339">
        <v>50</v>
      </c>
      <c r="B157" s="1348" t="s">
        <v>273</v>
      </c>
      <c r="C157" s="1348"/>
      <c r="D157" s="1348"/>
      <c r="E157" s="1348"/>
      <c r="F157" s="1349"/>
      <c r="G157" s="576"/>
      <c r="K157" s="418"/>
    </row>
    <row r="158" spans="1:11" ht="4.5" hidden="1" customHeight="1" x14ac:dyDescent="0.15">
      <c r="A158" s="339"/>
      <c r="B158" s="415"/>
      <c r="C158" s="415"/>
      <c r="D158" s="415"/>
      <c r="E158" s="415"/>
      <c r="F158" s="415"/>
      <c r="G158" s="415"/>
      <c r="K158" s="418"/>
    </row>
    <row r="159" spans="1:11" ht="15" hidden="1" x14ac:dyDescent="0.15">
      <c r="A159" s="339"/>
      <c r="B159" s="453"/>
      <c r="C159" s="573"/>
      <c r="D159" s="574"/>
      <c r="E159" s="574"/>
      <c r="F159" s="575"/>
      <c r="G159" s="667"/>
    </row>
    <row r="160" spans="1:11" ht="27" hidden="1" customHeight="1" x14ac:dyDescent="0.15">
      <c r="A160" s="339">
        <v>51</v>
      </c>
      <c r="B160" s="1348" t="s">
        <v>273</v>
      </c>
      <c r="C160" s="1348"/>
      <c r="D160" s="1348"/>
      <c r="E160" s="1348"/>
      <c r="F160" s="1349"/>
      <c r="G160" s="576"/>
      <c r="K160" s="418"/>
    </row>
    <row r="161" spans="1:11" ht="4.5" hidden="1" customHeight="1" x14ac:dyDescent="0.15">
      <c r="A161" s="339"/>
      <c r="B161" s="415"/>
      <c r="C161" s="415"/>
      <c r="D161" s="415"/>
      <c r="E161" s="415"/>
      <c r="F161" s="415"/>
      <c r="G161" s="415"/>
      <c r="K161" s="418"/>
    </row>
    <row r="162" spans="1:11" ht="15" hidden="1" x14ac:dyDescent="0.15">
      <c r="A162" s="339"/>
      <c r="B162" s="453"/>
      <c r="C162" s="573"/>
      <c r="D162" s="574"/>
      <c r="E162" s="574"/>
      <c r="F162" s="575"/>
      <c r="G162" s="667"/>
    </row>
    <row r="163" spans="1:11" ht="27" hidden="1" customHeight="1" x14ac:dyDescent="0.15">
      <c r="A163" s="339">
        <v>52</v>
      </c>
      <c r="B163" s="1348" t="s">
        <v>273</v>
      </c>
      <c r="C163" s="1348"/>
      <c r="D163" s="1348"/>
      <c r="E163" s="1348"/>
      <c r="F163" s="1349"/>
      <c r="G163" s="576"/>
      <c r="K163" s="418"/>
    </row>
    <row r="164" spans="1:11" ht="4.5" hidden="1" customHeight="1" x14ac:dyDescent="0.15">
      <c r="A164" s="339"/>
      <c r="B164" s="415"/>
      <c r="C164" s="415"/>
      <c r="D164" s="415"/>
      <c r="E164" s="415"/>
      <c r="F164" s="415"/>
      <c r="G164" s="415"/>
      <c r="K164" s="418"/>
    </row>
    <row r="165" spans="1:11" ht="15" hidden="1" x14ac:dyDescent="0.15">
      <c r="A165" s="339"/>
      <c r="B165" s="453"/>
      <c r="C165" s="573"/>
      <c r="D165" s="574"/>
      <c r="E165" s="574"/>
      <c r="F165" s="575"/>
      <c r="G165" s="667"/>
    </row>
    <row r="166" spans="1:11" ht="27" hidden="1" customHeight="1" x14ac:dyDescent="0.15">
      <c r="A166" s="339">
        <v>53</v>
      </c>
      <c r="B166" s="1348" t="s">
        <v>273</v>
      </c>
      <c r="C166" s="1348"/>
      <c r="D166" s="1348"/>
      <c r="E166" s="1348"/>
      <c r="F166" s="1349"/>
      <c r="G166" s="576"/>
      <c r="K166" s="418"/>
    </row>
    <row r="167" spans="1:11" ht="4.5" hidden="1" customHeight="1" x14ac:dyDescent="0.15">
      <c r="A167" s="339"/>
      <c r="B167" s="415"/>
      <c r="C167" s="415"/>
      <c r="D167" s="415"/>
      <c r="E167" s="415"/>
      <c r="F167" s="415"/>
      <c r="G167" s="415"/>
      <c r="K167" s="418"/>
    </row>
    <row r="168" spans="1:11" ht="15" hidden="1" x14ac:dyDescent="0.15">
      <c r="A168" s="339"/>
      <c r="B168" s="453"/>
      <c r="C168" s="573"/>
      <c r="D168" s="574"/>
      <c r="E168" s="574"/>
      <c r="F168" s="575"/>
      <c r="G168" s="667"/>
    </row>
    <row r="169" spans="1:11" ht="27" hidden="1" customHeight="1" x14ac:dyDescent="0.15">
      <c r="A169" s="339">
        <v>54</v>
      </c>
      <c r="B169" s="1348" t="s">
        <v>273</v>
      </c>
      <c r="C169" s="1348"/>
      <c r="D169" s="1348"/>
      <c r="E169" s="1348"/>
      <c r="F169" s="1349"/>
      <c r="G169" s="576"/>
      <c r="K169" s="418"/>
    </row>
    <row r="170" spans="1:11" ht="4.3499999999999996" hidden="1" customHeight="1" x14ac:dyDescent="0.15">
      <c r="A170" s="339"/>
      <c r="B170" s="415"/>
      <c r="C170" s="415"/>
      <c r="D170" s="415"/>
      <c r="E170" s="415"/>
      <c r="F170" s="415"/>
      <c r="G170" s="415"/>
      <c r="K170" s="418"/>
    </row>
    <row r="171" spans="1:11" ht="15" hidden="1" x14ac:dyDescent="0.15">
      <c r="A171" s="339"/>
      <c r="B171" s="453"/>
      <c r="C171" s="573"/>
      <c r="D171" s="574"/>
      <c r="E171" s="574"/>
      <c r="F171" s="575"/>
      <c r="G171" s="667" t="s">
        <v>275</v>
      </c>
    </row>
    <row r="172" spans="1:11" ht="27" hidden="1" customHeight="1" x14ac:dyDescent="0.15">
      <c r="A172" s="339">
        <v>55</v>
      </c>
      <c r="B172" s="1348" t="s">
        <v>862</v>
      </c>
      <c r="C172" s="1348"/>
      <c r="D172" s="1348"/>
      <c r="E172" s="1348"/>
      <c r="F172" s="1349"/>
      <c r="G172" s="689"/>
      <c r="K172" s="418"/>
    </row>
    <row r="173" spans="1:11" ht="4.5" hidden="1" customHeight="1" x14ac:dyDescent="0.15">
      <c r="A173" s="339"/>
      <c r="B173" s="415"/>
      <c r="C173" s="415"/>
      <c r="D173" s="415"/>
      <c r="E173" s="415"/>
      <c r="F173" s="415"/>
      <c r="G173" s="415"/>
      <c r="K173" s="418"/>
    </row>
    <row r="174" spans="1:11" ht="15" hidden="1" x14ac:dyDescent="0.15">
      <c r="A174" s="339"/>
      <c r="B174" s="453"/>
      <c r="C174" s="573"/>
      <c r="D174" s="574"/>
      <c r="E174" s="574"/>
      <c r="F174" s="575"/>
      <c r="G174" s="667" t="s">
        <v>863</v>
      </c>
    </row>
    <row r="175" spans="1:11" ht="27" hidden="1" customHeight="1" x14ac:dyDescent="0.15">
      <c r="A175" s="339">
        <v>56</v>
      </c>
      <c r="B175" s="1348" t="s">
        <v>864</v>
      </c>
      <c r="C175" s="1348"/>
      <c r="D175" s="1348"/>
      <c r="E175" s="1348"/>
      <c r="F175" s="1349"/>
      <c r="G175" s="689"/>
      <c r="K175" s="418"/>
    </row>
    <row r="176" spans="1:11" ht="4.5" hidden="1" customHeight="1" x14ac:dyDescent="0.15">
      <c r="A176" s="339"/>
      <c r="B176" s="415"/>
      <c r="C176" s="415"/>
      <c r="D176" s="415"/>
      <c r="E176" s="415"/>
      <c r="F176" s="415"/>
      <c r="G176" s="415"/>
      <c r="K176" s="418"/>
    </row>
    <row r="177" spans="1:11" ht="15" hidden="1" x14ac:dyDescent="0.15">
      <c r="A177" s="339"/>
      <c r="B177" s="453"/>
      <c r="C177" s="573"/>
      <c r="D177" s="574"/>
      <c r="E177" s="574"/>
      <c r="F177" s="575"/>
      <c r="G177" s="667"/>
    </row>
    <row r="178" spans="1:11" ht="27" hidden="1" customHeight="1" x14ac:dyDescent="0.15">
      <c r="A178" s="339">
        <v>57</v>
      </c>
      <c r="B178" s="1348" t="s">
        <v>273</v>
      </c>
      <c r="C178" s="1348"/>
      <c r="D178" s="1348"/>
      <c r="E178" s="1348"/>
      <c r="F178" s="1349"/>
      <c r="G178" s="576"/>
      <c r="K178" s="418"/>
    </row>
    <row r="179" spans="1:11" ht="4.5" hidden="1" customHeight="1" x14ac:dyDescent="0.15">
      <c r="A179" s="339"/>
      <c r="B179" s="415"/>
      <c r="C179" s="415"/>
      <c r="D179" s="415"/>
      <c r="E179" s="415"/>
      <c r="F179" s="415"/>
      <c r="G179" s="415"/>
      <c r="K179" s="418"/>
    </row>
    <row r="180" spans="1:11" ht="15" hidden="1" x14ac:dyDescent="0.15">
      <c r="A180" s="339"/>
      <c r="B180" s="453"/>
      <c r="C180" s="573"/>
      <c r="D180" s="574"/>
      <c r="E180" s="574"/>
      <c r="F180" s="575"/>
      <c r="G180" s="667"/>
    </row>
    <row r="181" spans="1:11" ht="27" hidden="1" customHeight="1" x14ac:dyDescent="0.15">
      <c r="A181" s="339">
        <v>58</v>
      </c>
      <c r="B181" s="1348" t="s">
        <v>273</v>
      </c>
      <c r="C181" s="1348"/>
      <c r="D181" s="1348"/>
      <c r="E181" s="1348"/>
      <c r="F181" s="1349"/>
      <c r="G181" s="576"/>
      <c r="K181" s="418"/>
    </row>
    <row r="182" spans="1:11" ht="4.5" hidden="1" customHeight="1" x14ac:dyDescent="0.15">
      <c r="A182" s="339"/>
      <c r="B182" s="415"/>
      <c r="C182" s="415"/>
      <c r="D182" s="415"/>
      <c r="E182" s="415"/>
      <c r="F182" s="415"/>
      <c r="G182" s="415"/>
      <c r="K182" s="418"/>
    </row>
    <row r="183" spans="1:11" ht="15" hidden="1" x14ac:dyDescent="0.15">
      <c r="A183" s="339"/>
      <c r="B183" s="453"/>
      <c r="C183" s="573"/>
      <c r="D183" s="574"/>
      <c r="E183" s="574"/>
      <c r="F183" s="575"/>
      <c r="G183" s="667"/>
    </row>
    <row r="184" spans="1:11" ht="27" hidden="1" customHeight="1" x14ac:dyDescent="0.15">
      <c r="A184" s="339">
        <v>59</v>
      </c>
      <c r="B184" s="1348" t="s">
        <v>273</v>
      </c>
      <c r="C184" s="1348"/>
      <c r="D184" s="1348"/>
      <c r="E184" s="1348"/>
      <c r="F184" s="1349"/>
      <c r="G184" s="576"/>
      <c r="K184" s="418"/>
    </row>
    <row r="185" spans="1:11" ht="3.6" hidden="1" customHeight="1" x14ac:dyDescent="0.15">
      <c r="A185" s="339"/>
      <c r="B185" s="453"/>
      <c r="C185" s="573"/>
      <c r="D185" s="574"/>
      <c r="E185" s="574"/>
      <c r="F185" s="575"/>
      <c r="G185" s="418"/>
    </row>
    <row r="186" spans="1:11" ht="15" hidden="1" x14ac:dyDescent="0.15">
      <c r="A186" s="339"/>
      <c r="B186" s="453"/>
      <c r="C186" s="573"/>
      <c r="D186" s="574"/>
      <c r="E186" s="574"/>
      <c r="F186" s="575"/>
      <c r="G186" s="667"/>
    </row>
    <row r="187" spans="1:11" ht="27" hidden="1" customHeight="1" x14ac:dyDescent="0.15">
      <c r="A187" s="339">
        <v>60</v>
      </c>
      <c r="B187" s="1348" t="s">
        <v>273</v>
      </c>
      <c r="C187" s="1348"/>
      <c r="D187" s="1348"/>
      <c r="E187" s="1348"/>
      <c r="F187" s="1349"/>
      <c r="G187" s="576"/>
      <c r="K187" s="418"/>
    </row>
    <row r="188" spans="1:11" ht="3.6" hidden="1" customHeight="1" x14ac:dyDescent="0.15">
      <c r="A188" s="339"/>
      <c r="B188" s="453"/>
      <c r="C188" s="573"/>
      <c r="D188" s="574"/>
      <c r="E188" s="574"/>
      <c r="F188" s="575"/>
      <c r="G188" s="418"/>
    </row>
    <row r="189" spans="1:11" ht="15" hidden="1" x14ac:dyDescent="0.15">
      <c r="A189" s="339"/>
      <c r="B189" s="453"/>
      <c r="C189" s="573"/>
      <c r="D189" s="574"/>
      <c r="E189" s="574"/>
      <c r="F189" s="575"/>
      <c r="G189" s="667"/>
    </row>
    <row r="190" spans="1:11" ht="27" hidden="1" customHeight="1" x14ac:dyDescent="0.15">
      <c r="A190" s="339">
        <v>61</v>
      </c>
      <c r="B190" s="1348" t="s">
        <v>273</v>
      </c>
      <c r="C190" s="1348"/>
      <c r="D190" s="1348"/>
      <c r="E190" s="1348"/>
      <c r="F190" s="1349"/>
      <c r="G190" s="576"/>
      <c r="K190" s="418"/>
    </row>
    <row r="191" spans="1:11" ht="4.5" customHeight="1" x14ac:dyDescent="0.15">
      <c r="A191" s="339"/>
      <c r="B191" s="415"/>
      <c r="C191" s="415"/>
      <c r="D191" s="415"/>
      <c r="E191" s="415"/>
      <c r="F191" s="415"/>
      <c r="G191" s="415"/>
      <c r="K191" s="418"/>
    </row>
    <row r="192" spans="1:11" ht="15" x14ac:dyDescent="0.15">
      <c r="A192" s="339"/>
      <c r="B192" s="453"/>
      <c r="C192" s="573"/>
      <c r="D192" s="574"/>
      <c r="E192" s="574"/>
      <c r="F192" s="575"/>
      <c r="G192" s="667" t="s">
        <v>275</v>
      </c>
      <c r="K192" s="308"/>
    </row>
    <row r="193" spans="1:11" ht="27" customHeight="1" x14ac:dyDescent="0.15">
      <c r="A193" s="339">
        <v>62</v>
      </c>
      <c r="B193" s="1348" t="s">
        <v>1038</v>
      </c>
      <c r="C193" s="1348"/>
      <c r="D193" s="1348"/>
      <c r="E193" s="1348"/>
      <c r="F193" s="1349"/>
      <c r="G193" s="689"/>
      <c r="K193" s="1323"/>
    </row>
    <row r="194" spans="1:11" ht="4.5" customHeight="1" x14ac:dyDescent="0.15">
      <c r="A194" s="339"/>
      <c r="B194" s="415"/>
      <c r="C194" s="415"/>
      <c r="D194" s="415"/>
      <c r="E194" s="415"/>
      <c r="F194" s="415"/>
      <c r="G194" s="415"/>
      <c r="K194" s="1323"/>
    </row>
    <row r="195" spans="1:11" ht="15" x14ac:dyDescent="0.15">
      <c r="A195" s="339"/>
      <c r="B195" s="453"/>
      <c r="C195" s="573"/>
      <c r="D195" s="574"/>
      <c r="E195" s="574"/>
      <c r="F195" s="575"/>
      <c r="G195" s="667" t="s">
        <v>275</v>
      </c>
      <c r="K195" s="308"/>
    </row>
    <row r="196" spans="1:11" ht="27" customHeight="1" x14ac:dyDescent="0.15">
      <c r="A196" s="339">
        <v>63</v>
      </c>
      <c r="B196" s="1348" t="s">
        <v>1039</v>
      </c>
      <c r="C196" s="1348"/>
      <c r="D196" s="1348"/>
      <c r="E196" s="1348"/>
      <c r="F196" s="1349"/>
      <c r="G196" s="689"/>
      <c r="K196" s="1323"/>
    </row>
    <row r="197" spans="1:11" ht="4.5" customHeight="1" x14ac:dyDescent="0.15">
      <c r="A197" s="339"/>
      <c r="B197" s="415"/>
      <c r="C197" s="415"/>
      <c r="D197" s="415"/>
      <c r="E197" s="415"/>
      <c r="F197" s="415"/>
      <c r="G197" s="415"/>
      <c r="K197" s="1323"/>
    </row>
    <row r="198" spans="1:11" ht="15" x14ac:dyDescent="0.15">
      <c r="A198" s="339"/>
      <c r="B198" s="453"/>
      <c r="C198" s="573"/>
      <c r="D198" s="574"/>
      <c r="E198" s="574"/>
      <c r="F198" s="575"/>
      <c r="G198" s="667" t="s">
        <v>275</v>
      </c>
      <c r="K198" s="308"/>
    </row>
    <row r="199" spans="1:11" ht="27" customHeight="1" x14ac:dyDescent="0.15">
      <c r="A199" s="339">
        <v>64</v>
      </c>
      <c r="B199" s="1348" t="s">
        <v>1081</v>
      </c>
      <c r="C199" s="1348"/>
      <c r="D199" s="1348"/>
      <c r="E199" s="1348"/>
      <c r="F199" s="1349"/>
      <c r="G199" s="689"/>
      <c r="K199" s="1323"/>
    </row>
    <row r="200" spans="1:11" ht="4.3499999999999996" hidden="1" customHeight="1" x14ac:dyDescent="0.15">
      <c r="A200" s="339"/>
      <c r="B200" s="415"/>
      <c r="C200" s="415"/>
      <c r="D200" s="415"/>
      <c r="E200" s="415"/>
      <c r="F200" s="415"/>
      <c r="G200" s="415"/>
      <c r="K200" s="418"/>
    </row>
    <row r="201" spans="1:11" ht="15" hidden="1" x14ac:dyDescent="0.15">
      <c r="A201" s="339"/>
      <c r="B201" s="453"/>
      <c r="C201" s="573"/>
      <c r="D201" s="574"/>
      <c r="E201" s="574"/>
      <c r="F201" s="575"/>
      <c r="G201" s="667"/>
    </row>
    <row r="202" spans="1:11" ht="27" hidden="1" customHeight="1" x14ac:dyDescent="0.15">
      <c r="A202" s="339">
        <v>65</v>
      </c>
      <c r="B202" s="1348" t="s">
        <v>273</v>
      </c>
      <c r="C202" s="1348"/>
      <c r="D202" s="1348"/>
      <c r="E202" s="1348"/>
      <c r="F202" s="1349"/>
      <c r="G202" s="576"/>
      <c r="K202" s="418"/>
    </row>
    <row r="203" spans="1:11" ht="4.5" hidden="1" customHeight="1" x14ac:dyDescent="0.15">
      <c r="A203" s="339"/>
      <c r="B203" s="415"/>
      <c r="C203" s="415"/>
      <c r="D203" s="415"/>
      <c r="E203" s="415"/>
      <c r="F203" s="415"/>
      <c r="G203" s="415"/>
      <c r="K203" s="418"/>
    </row>
    <row r="204" spans="1:11" ht="15" hidden="1" x14ac:dyDescent="0.15">
      <c r="A204" s="339"/>
      <c r="B204" s="453"/>
      <c r="C204" s="573"/>
      <c r="D204" s="574"/>
      <c r="E204" s="574"/>
      <c r="F204" s="575"/>
      <c r="G204" s="667"/>
    </row>
    <row r="205" spans="1:11" ht="27" hidden="1" customHeight="1" x14ac:dyDescent="0.15">
      <c r="A205" s="339">
        <v>66</v>
      </c>
      <c r="B205" s="1348" t="s">
        <v>273</v>
      </c>
      <c r="C205" s="1348"/>
      <c r="D205" s="1348"/>
      <c r="E205" s="1348"/>
      <c r="F205" s="1349"/>
      <c r="G205" s="576"/>
      <c r="K205" s="418"/>
    </row>
    <row r="206" spans="1:11" ht="4.5" hidden="1" customHeight="1" x14ac:dyDescent="0.15">
      <c r="A206" s="339"/>
      <c r="B206" s="415"/>
      <c r="C206" s="415"/>
      <c r="D206" s="415"/>
      <c r="E206" s="415"/>
      <c r="F206" s="415"/>
      <c r="G206" s="415"/>
      <c r="K206" s="418"/>
    </row>
    <row r="207" spans="1:11" ht="15" hidden="1" x14ac:dyDescent="0.15">
      <c r="A207" s="339"/>
      <c r="B207" s="453"/>
      <c r="C207" s="573"/>
      <c r="D207" s="574"/>
      <c r="E207" s="574"/>
      <c r="F207" s="575"/>
      <c r="G207" s="667"/>
    </row>
    <row r="208" spans="1:11" ht="27" hidden="1" customHeight="1" x14ac:dyDescent="0.15">
      <c r="A208" s="339">
        <v>67</v>
      </c>
      <c r="B208" s="1348" t="s">
        <v>273</v>
      </c>
      <c r="C208" s="1348"/>
      <c r="D208" s="1348"/>
      <c r="E208" s="1348"/>
      <c r="F208" s="1349"/>
      <c r="G208" s="576"/>
      <c r="K208" s="418"/>
    </row>
    <row r="209" spans="1:11" ht="15" customHeight="1" x14ac:dyDescent="0.15">
      <c r="A209" s="339"/>
      <c r="B209" s="415"/>
      <c r="C209" s="415"/>
      <c r="D209" s="415"/>
      <c r="E209" s="415"/>
      <c r="F209" s="415"/>
      <c r="G209" s="619"/>
      <c r="K209" s="418"/>
    </row>
    <row r="210" spans="1:11" ht="33" customHeight="1" x14ac:dyDescent="0.15">
      <c r="A210" s="339"/>
      <c r="B210" s="1377" t="s">
        <v>621</v>
      </c>
      <c r="C210" s="1378"/>
      <c r="D210" s="1378"/>
      <c r="E210" s="1378"/>
      <c r="F210" s="1378"/>
      <c r="G210" s="1379"/>
    </row>
    <row r="211" spans="1:11" ht="41.25" customHeight="1" x14ac:dyDescent="0.15">
      <c r="A211" s="339"/>
      <c r="B211" s="1368"/>
      <c r="C211" s="1369"/>
      <c r="D211" s="1369"/>
      <c r="E211" s="1369"/>
      <c r="F211" s="1369"/>
      <c r="G211" s="1370"/>
      <c r="K211" s="418" t="str">
        <f>IF(LEN(B211)&gt;1500,"IL NUMERO MASSIMO DI CARATTERI CONSENTITO E' 1500","")</f>
        <v/>
      </c>
    </row>
    <row r="212" spans="1:11" ht="12.75" customHeight="1" x14ac:dyDescent="0.15">
      <c r="A212" s="339"/>
      <c r="B212" s="1371"/>
      <c r="C212" s="1372"/>
      <c r="D212" s="1372"/>
      <c r="E212" s="1372"/>
      <c r="F212" s="1372"/>
      <c r="G212" s="1373"/>
      <c r="K212" s="418"/>
    </row>
    <row r="213" spans="1:11" ht="12.75" customHeight="1" x14ac:dyDescent="0.15">
      <c r="A213" s="339"/>
      <c r="B213" s="1371"/>
      <c r="C213" s="1372"/>
      <c r="D213" s="1372"/>
      <c r="E213" s="1372"/>
      <c r="F213" s="1372"/>
      <c r="G213" s="1373"/>
    </row>
    <row r="214" spans="1:11" ht="12.75" customHeight="1" x14ac:dyDescent="0.15">
      <c r="A214" s="339"/>
      <c r="B214" s="1371"/>
      <c r="C214" s="1372"/>
      <c r="D214" s="1372"/>
      <c r="E214" s="1372"/>
      <c r="F214" s="1372"/>
      <c r="G214" s="1373"/>
    </row>
    <row r="215" spans="1:11" ht="12.75" customHeight="1" x14ac:dyDescent="0.15">
      <c r="A215" s="339"/>
      <c r="B215" s="1374"/>
      <c r="C215" s="1375"/>
      <c r="D215" s="1375"/>
      <c r="E215" s="1375"/>
      <c r="F215" s="1375"/>
      <c r="G215" s="1376"/>
    </row>
    <row r="216" spans="1:11" ht="38.25" customHeight="1" x14ac:dyDescent="0.2">
      <c r="B216" s="1367" t="s">
        <v>337</v>
      </c>
      <c r="C216" s="1367"/>
      <c r="D216" s="1367"/>
      <c r="E216" s="1367"/>
      <c r="F216" s="1367"/>
      <c r="G216" s="1367"/>
    </row>
    <row r="217" spans="1:11" ht="51" customHeight="1" x14ac:dyDescent="0.15">
      <c r="C217" s="478"/>
    </row>
    <row r="218" spans="1:11" ht="38.25" customHeight="1" x14ac:dyDescent="0.2">
      <c r="B218" s="1365" t="s">
        <v>440</v>
      </c>
      <c r="C218" s="1366"/>
      <c r="D218" s="1366"/>
      <c r="E218" s="1366"/>
      <c r="F218" s="1366"/>
      <c r="G218" s="1366"/>
    </row>
    <row r="219" spans="1:11" ht="51.75" customHeight="1" x14ac:dyDescent="0.15">
      <c r="C219" s="478"/>
    </row>
    <row r="220" spans="1:11" ht="18" customHeight="1" x14ac:dyDescent="0.15">
      <c r="C220" s="478"/>
    </row>
    <row r="221" spans="1:11" ht="59.45" customHeight="1" x14ac:dyDescent="0.25">
      <c r="B221" s="1364" t="s">
        <v>441</v>
      </c>
      <c r="C221" s="1364"/>
      <c r="D221" s="1364"/>
      <c r="E221" s="1364"/>
      <c r="F221" s="1364"/>
      <c r="G221" s="1364"/>
    </row>
    <row r="222" spans="1:11" ht="15" x14ac:dyDescent="0.15">
      <c r="A222" s="897"/>
      <c r="B222" s="919"/>
      <c r="C222" s="919"/>
      <c r="D222" s="919"/>
      <c r="E222" s="898"/>
      <c r="F222" s="898"/>
      <c r="G222" s="898"/>
    </row>
    <row r="223" spans="1:11" x14ac:dyDescent="0.15">
      <c r="A223" s="822"/>
      <c r="B223" s="900" t="s">
        <v>349</v>
      </c>
      <c r="C223" s="900">
        <f>IF('SI_1A(COMUNI-PROVINCE-CITTA_ME)'!I251+'SI_1A(UNIONE_COMUNI)'!$I$251+'SI_1A(COMUNITA_MONTANE)'!$I$251&gt;0,1,0)</f>
        <v>0</v>
      </c>
      <c r="D223" s="823"/>
      <c r="E223" s="900" t="s">
        <v>22</v>
      </c>
      <c r="F223" s="900">
        <f>IF(COUNTIF('Squadratura 1'!J6:J33,"ERRORE")=0, 0,1)</f>
        <v>0</v>
      </c>
      <c r="G223" s="823"/>
    </row>
    <row r="224" spans="1:11" x14ac:dyDescent="0.15">
      <c r="A224" s="822"/>
      <c r="B224" s="900" t="s">
        <v>602</v>
      </c>
      <c r="C224" s="900">
        <f>IF(SI_1A_CONV!$I$162&gt;0,1,0)</f>
        <v>0</v>
      </c>
      <c r="D224" s="823"/>
      <c r="E224" s="900" t="s">
        <v>24</v>
      </c>
      <c r="F224" s="900">
        <f>IF(OR('Squadratura 2'!G35="ERRORE",'Squadratura 2'!L35="ERRORE"),1,0)</f>
        <v>0</v>
      </c>
      <c r="G224" s="823"/>
    </row>
    <row r="225" spans="1:11" x14ac:dyDescent="0.15">
      <c r="A225" s="822"/>
      <c r="B225" s="900" t="s">
        <v>21</v>
      </c>
      <c r="C225" s="900">
        <f>IF(('t1'!$K$34+'t1'!$L$34)&gt;0,1,0)</f>
        <v>1</v>
      </c>
      <c r="D225" s="823"/>
      <c r="E225" s="900" t="s">
        <v>26</v>
      </c>
      <c r="F225" s="900">
        <f>IF(OR('Squadratura 3'!M36="ERRORE",'Squadratura 3'!N36="ERRORE",'Squadratura 3'!Y36="ERRORE",'Squadratura 3'!Z36="ERRORE"),1,0)</f>
        <v>0</v>
      </c>
      <c r="G225" s="823"/>
    </row>
    <row r="226" spans="1:11" x14ac:dyDescent="0.15">
      <c r="A226" s="822"/>
      <c r="B226" s="900" t="s">
        <v>23</v>
      </c>
      <c r="C226" s="900">
        <f>IF(SUM('t2'!C11:P11)&gt;0,1,0)</f>
        <v>1</v>
      </c>
      <c r="D226" s="823"/>
      <c r="E226" s="900" t="s">
        <v>28</v>
      </c>
      <c r="F226" s="900">
        <f>IF(COUNTIF('Squadratura 4'!I6:I33,"ERRORE")=0,0,1)</f>
        <v>0</v>
      </c>
      <c r="G226" s="900"/>
    </row>
    <row r="227" spans="1:11" x14ac:dyDescent="0.2">
      <c r="A227" s="822"/>
      <c r="B227" s="900" t="s">
        <v>350</v>
      </c>
      <c r="C227" s="900">
        <f>IF(t2A!$T$18&gt;0,1,0)</f>
        <v>0</v>
      </c>
      <c r="D227" s="823"/>
      <c r="E227" s="900" t="s">
        <v>1072</v>
      </c>
      <c r="F227" s="900">
        <f>IF(OR('SI_1A(COMUNI-PROVINCE-CITTA_ME)'!I252="OK",'SI_1A(UNIONE_COMUNI)'!I252="OK",'SI_1A(COMUNITA_MONTANE)'!I252="OK"),IF('Squadratura 7'!E24=0,0,1),1)</f>
        <v>1</v>
      </c>
      <c r="G227" s="823"/>
      <c r="K227" s="873"/>
    </row>
    <row r="228" spans="1:11" x14ac:dyDescent="0.15">
      <c r="A228" s="822"/>
      <c r="B228" s="900" t="s">
        <v>25</v>
      </c>
      <c r="C228" s="900">
        <f>IF(SUM('t3'!C34:P34)&gt;0,1,0)</f>
        <v>1</v>
      </c>
      <c r="D228" s="823"/>
      <c r="E228" s="900" t="s">
        <v>1071</v>
      </c>
      <c r="F228" s="900">
        <f>IF(OR('t15(1)'!$H$15&lt;&gt;"OK",'t15(2)'!$H$24&lt;&gt;"OK"),1,0)</f>
        <v>0</v>
      </c>
      <c r="G228" s="823"/>
      <c r="K228" s="873"/>
    </row>
    <row r="229" spans="1:11" x14ac:dyDescent="0.15">
      <c r="A229" s="822"/>
      <c r="B229" s="900" t="s">
        <v>27</v>
      </c>
      <c r="C229" s="900">
        <f>IF(('t4'!$AE$43)&gt;0,1,0)</f>
        <v>1</v>
      </c>
      <c r="D229" s="823"/>
      <c r="E229" s="900" t="s">
        <v>671</v>
      </c>
      <c r="F229" s="900">
        <f>IF('t15(2)'!$H$6&lt;&gt;"OK",1,0)</f>
        <v>0</v>
      </c>
      <c r="G229" s="823"/>
      <c r="K229" s="873"/>
    </row>
    <row r="230" spans="1:11" x14ac:dyDescent="0.15">
      <c r="A230" s="822"/>
      <c r="B230" s="900" t="s">
        <v>29</v>
      </c>
      <c r="C230" s="900">
        <f>IF(('t5'!$U$35+'t5'!$V$35)&gt;0,1,0)</f>
        <v>1</v>
      </c>
      <c r="D230" s="823"/>
      <c r="E230" s="900" t="s">
        <v>1037</v>
      </c>
      <c r="F230" s="900"/>
      <c r="G230" s="823"/>
      <c r="K230" s="873"/>
    </row>
    <row r="231" spans="1:11" x14ac:dyDescent="0.15">
      <c r="A231" s="822"/>
      <c r="B231" s="900" t="s">
        <v>30</v>
      </c>
      <c r="C231" s="900">
        <f>IF(('t6'!$U$35+'t6'!$V$35)&gt;0,1,0)</f>
        <v>1</v>
      </c>
      <c r="D231" s="823"/>
      <c r="E231" s="900" t="s">
        <v>32</v>
      </c>
      <c r="F231" s="900">
        <f>IF(COUNTIF('Incongruenze 1 e 11'!D5:D7,"OK")=3,0,1)</f>
        <v>0</v>
      </c>
      <c r="G231" s="823"/>
      <c r="K231" s="873"/>
    </row>
    <row r="232" spans="1:11" x14ac:dyDescent="0.15">
      <c r="A232" s="822"/>
      <c r="B232" s="900" t="s">
        <v>31</v>
      </c>
      <c r="C232" s="900">
        <f>IF(('t7'!$W$34+'t7'!$X$34)&gt;0,1,0)</f>
        <v>1</v>
      </c>
      <c r="D232" s="823"/>
      <c r="E232" s="900" t="s">
        <v>34</v>
      </c>
      <c r="F232" s="900">
        <f>IF(COUNTIF('Incongruenza 2'!I6:I33,"ERRORE")=0,0,1)</f>
        <v>0</v>
      </c>
      <c r="G232" s="823"/>
      <c r="K232" s="873"/>
    </row>
    <row r="233" spans="1:11" x14ac:dyDescent="0.15">
      <c r="A233" s="822"/>
      <c r="B233" s="900" t="s">
        <v>33</v>
      </c>
      <c r="C233" s="900">
        <f>IF(('t8'!$AA$34+'t8'!$AB$34)&gt;0,1,0)</f>
        <v>1</v>
      </c>
      <c r="D233" s="823"/>
      <c r="E233" s="900" t="s">
        <v>564</v>
      </c>
      <c r="F233" s="900">
        <f ca="1">IF('Incongruenza 3'!E5="OK",0,1)</f>
        <v>0</v>
      </c>
      <c r="G233" s="823"/>
      <c r="K233" s="873"/>
    </row>
    <row r="234" spans="1:11" x14ac:dyDescent="0.15">
      <c r="A234" s="822"/>
      <c r="B234" s="900" t="s">
        <v>35</v>
      </c>
      <c r="C234" s="900">
        <f>IF(('t9'!$O$34+'t9'!$P$34)&gt;0,1,0)</f>
        <v>1</v>
      </c>
      <c r="D234" s="823"/>
      <c r="E234" s="900" t="s">
        <v>36</v>
      </c>
      <c r="F234" s="900">
        <f>IF(OR(AND('Incongruenza 4 e controlli t14'!F21=" ",'Incongruenza 4 e controlli t14'!F23=" "),AND('Incongruenza 4 e controlli t14'!F21="OK",'Incongruenza 4 e controlli t14'!F23="OK"),AND('Incongruenza 4 e controlli t14'!F23="E' stata dichiarata IRAP Commerciale")),0,1)</f>
        <v>0</v>
      </c>
      <c r="G234" s="823"/>
      <c r="K234" s="873"/>
    </row>
    <row r="235" spans="1:11" x14ac:dyDescent="0.15">
      <c r="A235" s="822"/>
      <c r="B235" s="900" t="s">
        <v>37</v>
      </c>
      <c r="C235" s="900">
        <f>IF(('t10'!$AU$34+'t10'!$AV$34)&gt;0,1,0)</f>
        <v>1</v>
      </c>
      <c r="D235" s="823"/>
      <c r="E235" s="900" t="s">
        <v>38</v>
      </c>
      <c r="F235" s="900">
        <f>IF(COUNTIF('Incongruenza 5'!G6:G33,"ERRORE")=0,0,1)</f>
        <v>0</v>
      </c>
      <c r="G235" s="823"/>
    </row>
    <row r="236" spans="1:11" x14ac:dyDescent="0.15">
      <c r="A236" s="822"/>
      <c r="B236" s="900" t="s">
        <v>39</v>
      </c>
      <c r="C236" s="900">
        <f>IF(('t11'!$Y$36+'t11'!$Z$36)&gt;0,1,0)</f>
        <v>1</v>
      </c>
      <c r="D236" s="823"/>
      <c r="E236" s="900" t="s">
        <v>40</v>
      </c>
      <c r="F236" s="900">
        <f>IF(COUNTIF('Incongruenza 6'!E6:E26,"ERRORE")=0,0,1)</f>
        <v>0</v>
      </c>
      <c r="G236" s="823"/>
    </row>
    <row r="237" spans="1:11" x14ac:dyDescent="0.15">
      <c r="A237" s="822"/>
      <c r="B237" s="900" t="s">
        <v>41</v>
      </c>
      <c r="C237" s="900">
        <f>IF(('t12'!$J$34+'t12'!$C$34)&gt;0,1,0)</f>
        <v>1</v>
      </c>
      <c r="D237" s="823"/>
      <c r="E237" s="900" t="s">
        <v>42</v>
      </c>
      <c r="F237" s="900">
        <f>IF(COUNTIF('Incongruenza 7'!I6:I26,"ERRORE")=0,0,1)</f>
        <v>1</v>
      </c>
      <c r="G237" s="823"/>
    </row>
    <row r="238" spans="1:11" x14ac:dyDescent="0.15">
      <c r="A238" s="822"/>
      <c r="B238" s="900" t="s">
        <v>43</v>
      </c>
      <c r="C238" s="900">
        <f>IF(('t13'!$X$34)&gt;0,1,0)</f>
        <v>1</v>
      </c>
      <c r="D238" s="823"/>
      <c r="E238" s="900" t="s">
        <v>468</v>
      </c>
      <c r="F238" s="900">
        <f>IF(COUNTIF('Incongruenza 8'!J6:J26,"ERRORE")=0,0,1)</f>
        <v>1</v>
      </c>
      <c r="G238" s="823"/>
    </row>
    <row r="239" spans="1:11" x14ac:dyDescent="0.15">
      <c r="A239" s="822"/>
      <c r="B239" s="900" t="s">
        <v>44</v>
      </c>
      <c r="C239" s="900">
        <f>IF(('Incongruenza 4 e controlli t14'!$C$31)&gt;0,1,0)</f>
        <v>1</v>
      </c>
      <c r="D239" s="823"/>
      <c r="E239" s="900" t="s">
        <v>769</v>
      </c>
      <c r="F239" s="900">
        <f>IF(OR('t15(1)'!$H$8&lt;&gt;"OK",'t15(2)'!$H$13&lt;&gt;"OK"),1,0)</f>
        <v>0</v>
      </c>
      <c r="G239" s="823"/>
    </row>
    <row r="240" spans="1:11" x14ac:dyDescent="0.15">
      <c r="A240" s="822"/>
      <c r="B240" s="900" t="s">
        <v>45</v>
      </c>
      <c r="C240" s="900">
        <f>IF(('t15(1)'!$C$19+'t15(1)'!$G$19+'t15(2)'!$C$41+'t15(2)'!$G$41)&gt;0,1,0)</f>
        <v>1</v>
      </c>
      <c r="D240" s="823"/>
      <c r="E240" s="900" t="s">
        <v>629</v>
      </c>
      <c r="F240" s="900">
        <f>IF(COUNTIF('Incongruenza 10'!K11:L11,"OK")=2,0,1)</f>
        <v>0</v>
      </c>
      <c r="G240" s="823"/>
    </row>
    <row r="241" spans="1:7" x14ac:dyDescent="0.15">
      <c r="A241" s="822"/>
      <c r="B241" s="900" t="s">
        <v>672</v>
      </c>
      <c r="C241" s="900">
        <f>IF(('SICI(1)'!N8+'SICI(2)'!N8)&gt;0,1,0)</f>
        <v>1</v>
      </c>
      <c r="D241" s="823"/>
      <c r="E241" s="900" t="s">
        <v>666</v>
      </c>
      <c r="F241" s="900">
        <f>IF(COUNTIF('Incongruenze 1 e 11'!D13:D20,"OK")=6,0,1)</f>
        <v>0</v>
      </c>
      <c r="G241" s="823"/>
    </row>
    <row r="242" spans="1:7" x14ac:dyDescent="0.15">
      <c r="A242" s="822"/>
      <c r="B242" s="900" t="s">
        <v>563</v>
      </c>
      <c r="C242" s="900">
        <f>IF(('Tabella Riconciliazione'!$F$32)&gt;0,1,0)</f>
        <v>0</v>
      </c>
      <c r="D242" s="823"/>
      <c r="E242" s="900" t="s">
        <v>667</v>
      </c>
      <c r="F242" s="900">
        <f>IF(COUNTIF('Incongruenze 12 e 13'!D13:D14,"OK")=2,0,1)</f>
        <v>0</v>
      </c>
      <c r="G242" s="823"/>
    </row>
    <row r="243" spans="1:7" x14ac:dyDescent="0.15">
      <c r="A243" s="822"/>
      <c r="B243" s="823"/>
      <c r="C243" s="823"/>
      <c r="D243" s="823"/>
      <c r="E243" s="900" t="s">
        <v>668</v>
      </c>
      <c r="F243" s="900">
        <f>IF(COUNTIF('Incongruenze 12 e 13'!D20,"OK")=1,0,1)</f>
        <v>0</v>
      </c>
      <c r="G243" s="823"/>
    </row>
    <row r="244" spans="1:7" x14ac:dyDescent="0.15">
      <c r="A244" s="822"/>
      <c r="B244" s="823"/>
      <c r="C244" s="823"/>
      <c r="D244" s="823"/>
      <c r="E244" s="900" t="s">
        <v>669</v>
      </c>
      <c r="F244" s="900">
        <f>IF(COUNTIF('Incongruenza 14'!G6:G26,"ERRORE")=0,0,1)</f>
        <v>0</v>
      </c>
      <c r="G244" s="823"/>
    </row>
    <row r="245" spans="1:7" x14ac:dyDescent="0.15">
      <c r="A245" s="822"/>
      <c r="B245" s="823"/>
      <c r="C245" s="823"/>
      <c r="D245" s="823"/>
      <c r="E245" s="900" t="s">
        <v>670</v>
      </c>
      <c r="F245" s="900">
        <f>IF('SICI(2)'!$G$5&lt;&gt;"OK",1,0)</f>
        <v>0</v>
      </c>
      <c r="G245" s="823"/>
    </row>
    <row r="246" spans="1:7" x14ac:dyDescent="0.15">
      <c r="A246" s="822"/>
      <c r="B246" s="823"/>
      <c r="C246" s="823"/>
      <c r="D246" s="823"/>
      <c r="E246" s="900" t="s">
        <v>857</v>
      </c>
      <c r="F246" s="900" t="e">
        <f>IF(('t12'!#REF!)&gt;0,1,0)</f>
        <v>#REF!</v>
      </c>
      <c r="G246" s="823"/>
    </row>
    <row r="247" spans="1:7" x14ac:dyDescent="0.15">
      <c r="A247" s="822"/>
      <c r="B247" s="823"/>
      <c r="C247" s="823"/>
      <c r="D247" s="823"/>
      <c r="E247" s="823"/>
      <c r="F247" s="823"/>
      <c r="G247" s="823"/>
    </row>
    <row r="248" spans="1:7" s="822" customFormat="1" x14ac:dyDescent="0.15">
      <c r="A248" s="897"/>
      <c r="B248" s="898"/>
      <c r="C248" s="898"/>
      <c r="D248" s="898"/>
      <c r="E248" s="898"/>
      <c r="F248" s="898"/>
      <c r="G248" s="898"/>
    </row>
    <row r="249" spans="1:7" s="822" customFormat="1" x14ac:dyDescent="0.15">
      <c r="A249" s="897"/>
      <c r="B249" s="898"/>
      <c r="C249" s="898"/>
      <c r="D249" s="898"/>
      <c r="E249" s="898"/>
      <c r="F249" s="898"/>
      <c r="G249" s="898"/>
    </row>
    <row r="250" spans="1:7" x14ac:dyDescent="0.15">
      <c r="A250" s="897"/>
      <c r="B250" s="898"/>
      <c r="C250" s="898"/>
      <c r="D250" s="898"/>
      <c r="E250" s="898"/>
      <c r="F250" s="898"/>
      <c r="G250" s="898"/>
    </row>
    <row r="251" spans="1:7" x14ac:dyDescent="0.15">
      <c r="A251" s="897"/>
      <c r="B251" s="898"/>
      <c r="C251" s="898"/>
      <c r="D251" s="898"/>
      <c r="E251" s="898"/>
      <c r="F251" s="898"/>
      <c r="G251" s="898"/>
    </row>
    <row r="252" spans="1:7" s="421" customFormat="1" x14ac:dyDescent="0.15">
      <c r="A252" s="897"/>
      <c r="B252" s="898"/>
      <c r="C252" s="898"/>
      <c r="D252" s="898"/>
      <c r="E252" s="898"/>
      <c r="F252" s="898"/>
      <c r="G252" s="898"/>
    </row>
    <row r="253" spans="1:7" s="421" customFormat="1" x14ac:dyDescent="0.15">
      <c r="A253" s="822"/>
      <c r="B253" s="823"/>
      <c r="C253" s="823"/>
      <c r="D253" s="823"/>
      <c r="E253" s="823"/>
      <c r="F253" s="823"/>
      <c r="G253" s="823"/>
    </row>
    <row r="254" spans="1:7" s="421" customFormat="1" x14ac:dyDescent="0.15">
      <c r="A254" s="822"/>
      <c r="B254" s="823"/>
      <c r="C254" s="823"/>
      <c r="D254" s="823"/>
      <c r="E254" s="823"/>
      <c r="F254" s="823"/>
      <c r="G254" s="823"/>
    </row>
    <row r="255" spans="1:7" s="421" customFormat="1" x14ac:dyDescent="0.15">
      <c r="A255" s="822"/>
      <c r="B255" s="898"/>
      <c r="C255" s="898"/>
      <c r="D255" s="823"/>
      <c r="E255" s="823"/>
      <c r="F255" s="823"/>
      <c r="G255" s="823"/>
    </row>
    <row r="256" spans="1:7" s="421" customFormat="1" x14ac:dyDescent="0.15">
      <c r="A256" s="897"/>
      <c r="B256" s="898"/>
      <c r="C256" s="898"/>
      <c r="D256" s="898"/>
      <c r="E256" s="823"/>
      <c r="F256" s="823"/>
      <c r="G256" s="898"/>
    </row>
    <row r="257" spans="1:7" s="421" customFormat="1" x14ac:dyDescent="0.15">
      <c r="A257" s="897"/>
      <c r="B257" s="898"/>
      <c r="C257" s="898"/>
      <c r="D257" s="898"/>
      <c r="E257" s="898"/>
      <c r="F257" s="898"/>
      <c r="G257" s="898"/>
    </row>
    <row r="258" spans="1:7" s="421" customFormat="1" x14ac:dyDescent="0.15">
      <c r="A258" s="897"/>
      <c r="B258" s="898"/>
      <c r="C258" s="898"/>
      <c r="D258" s="898"/>
      <c r="E258" s="898"/>
      <c r="F258" s="898"/>
      <c r="G258" s="898"/>
    </row>
    <row r="259" spans="1:7" s="421" customFormat="1" x14ac:dyDescent="0.15">
      <c r="A259" s="897"/>
      <c r="B259" s="898"/>
      <c r="C259" s="898"/>
      <c r="D259" s="898"/>
      <c r="E259" s="898"/>
      <c r="F259" s="898"/>
      <c r="G259" s="898"/>
    </row>
    <row r="260" spans="1:7" s="421" customFormat="1" x14ac:dyDescent="0.15">
      <c r="A260" s="897"/>
      <c r="B260" s="898"/>
      <c r="C260" s="898"/>
      <c r="D260" s="898"/>
      <c r="E260" s="898"/>
      <c r="F260" s="898"/>
      <c r="G260" s="898"/>
    </row>
    <row r="261" spans="1:7" s="421" customFormat="1" x14ac:dyDescent="0.15">
      <c r="A261" s="897"/>
      <c r="B261" s="898"/>
      <c r="C261" s="898"/>
      <c r="D261" s="898"/>
      <c r="E261" s="898"/>
      <c r="F261" s="898"/>
      <c r="G261" s="898"/>
    </row>
    <row r="262" spans="1:7" s="421" customFormat="1" x14ac:dyDescent="0.15">
      <c r="A262" s="897"/>
      <c r="B262" s="898"/>
      <c r="C262" s="898"/>
      <c r="D262" s="898"/>
      <c r="E262" s="898"/>
      <c r="F262" s="898"/>
      <c r="G262" s="898"/>
    </row>
    <row r="263" spans="1:7" s="421" customFormat="1" x14ac:dyDescent="0.15">
      <c r="A263" s="897"/>
      <c r="B263" s="898"/>
      <c r="C263" s="898"/>
      <c r="D263" s="898"/>
      <c r="E263" s="898"/>
      <c r="F263" s="898"/>
      <c r="G263" s="898"/>
    </row>
    <row r="264" spans="1:7" s="421" customFormat="1" x14ac:dyDescent="0.15">
      <c r="A264" s="897"/>
      <c r="B264" s="898"/>
      <c r="C264" s="898"/>
      <c r="D264" s="898"/>
      <c r="E264" s="898"/>
      <c r="F264" s="898"/>
      <c r="G264" s="898"/>
    </row>
    <row r="265" spans="1:7" s="421" customFormat="1" x14ac:dyDescent="0.15">
      <c r="A265" s="897"/>
      <c r="B265" s="898"/>
      <c r="C265" s="898"/>
      <c r="D265" s="898"/>
      <c r="E265" s="898"/>
      <c r="F265" s="898"/>
      <c r="G265" s="898"/>
    </row>
    <row r="266" spans="1:7" s="421" customFormat="1" x14ac:dyDescent="0.15">
      <c r="A266" s="897"/>
      <c r="B266" s="898"/>
      <c r="C266" s="898"/>
      <c r="D266" s="898"/>
      <c r="E266" s="898"/>
      <c r="F266" s="898"/>
      <c r="G266" s="898"/>
    </row>
    <row r="267" spans="1:7" s="421" customFormat="1" x14ac:dyDescent="0.15">
      <c r="A267" s="897"/>
      <c r="B267" s="898"/>
      <c r="C267" s="898"/>
      <c r="D267" s="898"/>
      <c r="E267" s="898"/>
      <c r="F267" s="898"/>
      <c r="G267" s="898"/>
    </row>
    <row r="268" spans="1:7" s="421" customFormat="1" x14ac:dyDescent="0.15">
      <c r="A268" s="897"/>
      <c r="B268" s="898"/>
      <c r="C268" s="898"/>
      <c r="D268" s="898"/>
      <c r="E268" s="898"/>
      <c r="F268" s="898"/>
      <c r="G268" s="898"/>
    </row>
    <row r="269" spans="1:7" s="421" customFormat="1" x14ac:dyDescent="0.15">
      <c r="A269" s="897"/>
      <c r="B269" s="898"/>
      <c r="C269" s="898"/>
      <c r="D269" s="898"/>
      <c r="E269" s="898"/>
      <c r="F269" s="898"/>
      <c r="G269" s="898"/>
    </row>
    <row r="270" spans="1:7" s="421" customFormat="1" x14ac:dyDescent="0.15">
      <c r="A270" s="897"/>
      <c r="B270" s="898"/>
      <c r="C270" s="898"/>
      <c r="D270" s="898"/>
      <c r="E270" s="898"/>
      <c r="F270" s="898"/>
      <c r="G270" s="898"/>
    </row>
    <row r="271" spans="1:7" s="421" customFormat="1" x14ac:dyDescent="0.15">
      <c r="A271" s="897"/>
      <c r="B271" s="898"/>
      <c r="C271" s="898"/>
      <c r="D271" s="898"/>
      <c r="E271" s="898"/>
      <c r="F271" s="898"/>
      <c r="G271" s="898"/>
    </row>
    <row r="272" spans="1:7" s="421" customFormat="1" x14ac:dyDescent="0.15">
      <c r="A272" s="897"/>
      <c r="B272" s="898"/>
      <c r="C272" s="898"/>
      <c r="D272" s="898"/>
      <c r="E272" s="898"/>
      <c r="F272" s="898"/>
      <c r="G272" s="898"/>
    </row>
    <row r="273" spans="1:7" s="421" customFormat="1" x14ac:dyDescent="0.15">
      <c r="A273" s="897"/>
      <c r="B273" s="898"/>
      <c r="C273" s="898"/>
      <c r="D273" s="898"/>
      <c r="E273" s="898"/>
      <c r="F273" s="898"/>
      <c r="G273" s="898"/>
    </row>
    <row r="274" spans="1:7" s="421" customFormat="1" x14ac:dyDescent="0.15">
      <c r="A274" s="897"/>
      <c r="B274" s="898"/>
      <c r="C274" s="898"/>
      <c r="D274" s="898"/>
      <c r="E274" s="898"/>
      <c r="F274" s="898"/>
      <c r="G274" s="898"/>
    </row>
    <row r="275" spans="1:7" s="421" customFormat="1" x14ac:dyDescent="0.15">
      <c r="A275" s="897"/>
      <c r="B275" s="898"/>
      <c r="C275" s="898"/>
      <c r="D275" s="898"/>
      <c r="E275" s="898"/>
      <c r="F275" s="898"/>
      <c r="G275" s="898"/>
    </row>
    <row r="276" spans="1:7" s="421" customFormat="1" x14ac:dyDescent="0.15">
      <c r="A276" s="897"/>
      <c r="B276" s="898"/>
      <c r="C276" s="898"/>
      <c r="D276" s="898"/>
      <c r="E276" s="898"/>
      <c r="F276" s="898"/>
      <c r="G276" s="898"/>
    </row>
    <row r="277" spans="1:7" s="421" customFormat="1" x14ac:dyDescent="0.15">
      <c r="A277" s="897"/>
      <c r="B277" s="898"/>
      <c r="C277" s="898"/>
      <c r="D277" s="898"/>
      <c r="E277" s="898"/>
      <c r="F277" s="898"/>
      <c r="G277" s="898"/>
    </row>
    <row r="278" spans="1:7" s="421" customFormat="1" x14ac:dyDescent="0.15">
      <c r="A278" s="897"/>
      <c r="B278" s="898"/>
      <c r="C278" s="898"/>
      <c r="D278" s="898"/>
      <c r="E278" s="898"/>
      <c r="F278" s="898"/>
      <c r="G278" s="898"/>
    </row>
    <row r="279" spans="1:7" s="421" customFormat="1" x14ac:dyDescent="0.15">
      <c r="A279" s="897"/>
      <c r="B279" s="898"/>
      <c r="C279" s="898"/>
      <c r="D279" s="898"/>
      <c r="E279" s="898"/>
      <c r="F279" s="898"/>
      <c r="G279" s="898"/>
    </row>
    <row r="280" spans="1:7" s="421" customFormat="1" x14ac:dyDescent="0.15">
      <c r="A280" s="897"/>
      <c r="B280" s="898"/>
      <c r="C280" s="898"/>
      <c r="D280" s="898"/>
      <c r="E280" s="898"/>
      <c r="F280" s="898"/>
      <c r="G280" s="898"/>
    </row>
    <row r="281" spans="1:7" s="421" customFormat="1" x14ac:dyDescent="0.15">
      <c r="A281" s="897"/>
      <c r="B281" s="898"/>
      <c r="C281" s="898"/>
      <c r="D281" s="898"/>
      <c r="E281" s="898"/>
      <c r="F281" s="898"/>
      <c r="G281" s="898"/>
    </row>
    <row r="282" spans="1:7" s="421" customFormat="1" x14ac:dyDescent="0.15">
      <c r="A282" s="897"/>
      <c r="B282" s="898"/>
      <c r="C282" s="898"/>
      <c r="D282" s="898"/>
      <c r="E282" s="898"/>
      <c r="F282" s="898"/>
      <c r="G282" s="898"/>
    </row>
    <row r="283" spans="1:7" s="421" customFormat="1" x14ac:dyDescent="0.15">
      <c r="A283" s="897"/>
      <c r="B283" s="898"/>
      <c r="C283" s="898"/>
      <c r="D283" s="898"/>
      <c r="E283" s="898"/>
      <c r="F283" s="898"/>
      <c r="G283" s="898"/>
    </row>
    <row r="284" spans="1:7" s="421" customFormat="1" x14ac:dyDescent="0.15">
      <c r="A284" s="897"/>
      <c r="B284" s="898"/>
      <c r="C284" s="898"/>
      <c r="D284" s="898"/>
      <c r="E284" s="898"/>
      <c r="F284" s="898"/>
      <c r="G284" s="898"/>
    </row>
    <row r="285" spans="1:7" s="421" customFormat="1" x14ac:dyDescent="0.15">
      <c r="A285" s="897"/>
      <c r="B285" s="898"/>
      <c r="C285" s="898"/>
      <c r="D285" s="898"/>
      <c r="E285" s="898"/>
      <c r="F285" s="898"/>
      <c r="G285" s="898"/>
    </row>
    <row r="286" spans="1:7" s="421" customFormat="1" x14ac:dyDescent="0.15">
      <c r="A286" s="897"/>
      <c r="B286" s="898"/>
      <c r="C286" s="898"/>
      <c r="D286" s="898"/>
      <c r="E286" s="898"/>
      <c r="F286" s="898"/>
      <c r="G286" s="898"/>
    </row>
    <row r="287" spans="1:7" s="421" customFormat="1" x14ac:dyDescent="0.15">
      <c r="A287" s="897"/>
      <c r="B287" s="898"/>
      <c r="C287" s="898"/>
      <c r="D287" s="898"/>
      <c r="E287" s="898"/>
      <c r="F287" s="898"/>
      <c r="G287" s="898"/>
    </row>
    <row r="288" spans="1:7" s="421" customFormat="1" x14ac:dyDescent="0.15">
      <c r="A288" s="897"/>
      <c r="B288" s="898"/>
      <c r="C288" s="898"/>
      <c r="D288" s="898"/>
      <c r="E288" s="898"/>
      <c r="F288" s="898"/>
      <c r="G288" s="898"/>
    </row>
    <row r="289" spans="1:7" s="421" customFormat="1" x14ac:dyDescent="0.15">
      <c r="A289" s="897"/>
      <c r="B289" s="898"/>
      <c r="C289" s="898"/>
      <c r="D289" s="898"/>
      <c r="E289" s="898"/>
      <c r="F289" s="898"/>
      <c r="G289" s="898"/>
    </row>
    <row r="290" spans="1:7" s="421" customFormat="1" x14ac:dyDescent="0.15">
      <c r="A290" s="897"/>
      <c r="B290" s="898"/>
      <c r="C290" s="898"/>
      <c r="D290" s="898"/>
      <c r="E290" s="898"/>
      <c r="F290" s="898"/>
      <c r="G290" s="898"/>
    </row>
    <row r="291" spans="1:7" s="421" customFormat="1" x14ac:dyDescent="0.15">
      <c r="A291" s="897"/>
      <c r="B291" s="898"/>
      <c r="C291" s="898"/>
      <c r="D291" s="898"/>
      <c r="E291" s="898"/>
      <c r="F291" s="898"/>
      <c r="G291" s="898"/>
    </row>
    <row r="292" spans="1:7" s="421" customFormat="1" x14ac:dyDescent="0.15">
      <c r="A292" s="897"/>
      <c r="B292" s="898"/>
      <c r="C292" s="898"/>
      <c r="D292" s="898"/>
      <c r="E292" s="898"/>
      <c r="F292" s="898"/>
      <c r="G292" s="898"/>
    </row>
    <row r="293" spans="1:7" s="421" customFormat="1" x14ac:dyDescent="0.15">
      <c r="A293" s="897"/>
      <c r="B293" s="898"/>
      <c r="C293" s="898"/>
      <c r="D293" s="898"/>
      <c r="E293" s="898"/>
      <c r="F293" s="898"/>
      <c r="G293" s="898"/>
    </row>
    <row r="294" spans="1:7" s="421" customFormat="1" x14ac:dyDescent="0.15">
      <c r="A294" s="897"/>
      <c r="B294" s="898"/>
      <c r="C294" s="898"/>
      <c r="D294" s="898"/>
      <c r="E294" s="898"/>
      <c r="F294" s="898"/>
      <c r="G294" s="898"/>
    </row>
    <row r="295" spans="1:7" s="421" customFormat="1" x14ac:dyDescent="0.15">
      <c r="A295" s="897"/>
      <c r="B295" s="898"/>
      <c r="C295" s="898"/>
      <c r="D295" s="898"/>
      <c r="E295" s="898"/>
      <c r="F295" s="898"/>
      <c r="G295" s="898"/>
    </row>
    <row r="296" spans="1:7" s="421" customFormat="1" x14ac:dyDescent="0.15">
      <c r="A296" s="897"/>
      <c r="B296" s="898"/>
      <c r="C296" s="898"/>
      <c r="D296" s="898"/>
      <c r="E296" s="898"/>
      <c r="F296" s="898"/>
      <c r="G296" s="898"/>
    </row>
    <row r="297" spans="1:7" s="421" customFormat="1" x14ac:dyDescent="0.15">
      <c r="A297" s="897"/>
      <c r="B297" s="898"/>
      <c r="C297" s="898"/>
      <c r="D297" s="898"/>
      <c r="E297" s="898"/>
      <c r="F297" s="898"/>
      <c r="G297" s="898"/>
    </row>
    <row r="298" spans="1:7" s="421" customFormat="1" x14ac:dyDescent="0.15">
      <c r="A298" s="897"/>
      <c r="B298" s="898"/>
      <c r="C298" s="898"/>
      <c r="D298" s="898"/>
      <c r="E298" s="898"/>
      <c r="F298" s="898"/>
      <c r="G298" s="898"/>
    </row>
    <row r="299" spans="1:7" s="421" customFormat="1" x14ac:dyDescent="0.15">
      <c r="A299" s="897"/>
      <c r="B299" s="898"/>
      <c r="C299" s="898"/>
      <c r="D299" s="898"/>
      <c r="E299" s="898"/>
      <c r="F299" s="898"/>
      <c r="G299" s="898"/>
    </row>
    <row r="300" spans="1:7" s="421" customFormat="1" x14ac:dyDescent="0.15">
      <c r="A300" s="897"/>
      <c r="B300" s="898"/>
      <c r="C300" s="898"/>
      <c r="D300" s="898"/>
      <c r="E300" s="898"/>
      <c r="F300" s="898"/>
      <c r="G300" s="898"/>
    </row>
    <row r="301" spans="1:7" s="421" customFormat="1" x14ac:dyDescent="0.15">
      <c r="A301" s="897"/>
      <c r="B301" s="898"/>
      <c r="C301" s="898"/>
      <c r="D301" s="898"/>
      <c r="E301" s="898"/>
      <c r="F301" s="898"/>
      <c r="G301" s="898"/>
    </row>
    <row r="302" spans="1:7" s="421" customFormat="1" x14ac:dyDescent="0.15">
      <c r="A302" s="897"/>
      <c r="B302" s="898"/>
      <c r="C302" s="898"/>
      <c r="D302" s="898"/>
      <c r="E302" s="898"/>
      <c r="F302" s="898"/>
      <c r="G302" s="898"/>
    </row>
    <row r="303" spans="1:7" s="421" customFormat="1" x14ac:dyDescent="0.15">
      <c r="A303" s="897"/>
      <c r="B303" s="898"/>
      <c r="C303" s="898"/>
      <c r="D303" s="898"/>
      <c r="E303" s="898"/>
      <c r="F303" s="898"/>
      <c r="G303" s="898"/>
    </row>
    <row r="304" spans="1:7" s="421" customFormat="1" x14ac:dyDescent="0.15">
      <c r="A304" s="897"/>
      <c r="B304" s="898"/>
      <c r="C304" s="898"/>
      <c r="D304" s="898"/>
      <c r="E304" s="898"/>
      <c r="F304" s="898"/>
      <c r="G304" s="898"/>
    </row>
    <row r="305" spans="1:7" s="421" customFormat="1" x14ac:dyDescent="0.15">
      <c r="A305" s="897"/>
      <c r="B305" s="898"/>
      <c r="C305" s="898"/>
      <c r="D305" s="898"/>
      <c r="E305" s="898"/>
      <c r="F305" s="898"/>
      <c r="G305" s="898"/>
    </row>
    <row r="306" spans="1:7" s="421" customFormat="1" x14ac:dyDescent="0.15">
      <c r="A306" s="897"/>
      <c r="B306" s="898"/>
      <c r="C306" s="898"/>
      <c r="D306" s="898"/>
      <c r="E306" s="898"/>
      <c r="F306" s="898"/>
      <c r="G306" s="898"/>
    </row>
    <row r="307" spans="1:7" s="421" customFormat="1" x14ac:dyDescent="0.15">
      <c r="A307" s="897"/>
      <c r="B307" s="898"/>
      <c r="C307" s="898"/>
      <c r="D307" s="898"/>
      <c r="E307" s="898"/>
      <c r="F307" s="898"/>
      <c r="G307" s="898"/>
    </row>
    <row r="308" spans="1:7" s="421" customFormat="1" x14ac:dyDescent="0.15">
      <c r="A308" s="897"/>
      <c r="B308" s="898"/>
      <c r="C308" s="898"/>
      <c r="D308" s="898"/>
      <c r="E308" s="898"/>
      <c r="F308" s="898"/>
      <c r="G308" s="898"/>
    </row>
    <row r="309" spans="1:7" s="421" customFormat="1" x14ac:dyDescent="0.15">
      <c r="A309" s="897"/>
      <c r="B309" s="898"/>
      <c r="C309" s="898"/>
      <c r="D309" s="898"/>
      <c r="E309" s="898"/>
      <c r="F309" s="898"/>
      <c r="G309" s="898"/>
    </row>
    <row r="310" spans="1:7" s="421" customFormat="1" x14ac:dyDescent="0.15">
      <c r="A310" s="897"/>
      <c r="B310" s="898"/>
      <c r="C310" s="898"/>
      <c r="D310" s="898"/>
      <c r="E310" s="898"/>
      <c r="F310" s="898"/>
      <c r="G310" s="898"/>
    </row>
    <row r="311" spans="1:7" s="421" customFormat="1" x14ac:dyDescent="0.15">
      <c r="A311" s="897"/>
      <c r="B311" s="898"/>
      <c r="C311" s="898"/>
      <c r="D311" s="898"/>
      <c r="E311" s="898"/>
      <c r="F311" s="898"/>
      <c r="G311" s="898"/>
    </row>
    <row r="312" spans="1:7" s="421" customFormat="1" x14ac:dyDescent="0.15">
      <c r="A312" s="897"/>
      <c r="B312" s="898"/>
      <c r="C312" s="898"/>
      <c r="D312" s="898"/>
      <c r="E312" s="898"/>
      <c r="F312" s="898"/>
      <c r="G312" s="898"/>
    </row>
    <row r="313" spans="1:7" s="421" customFormat="1" x14ac:dyDescent="0.15">
      <c r="A313" s="897"/>
      <c r="B313" s="898"/>
      <c r="C313" s="898"/>
      <c r="D313" s="898"/>
      <c r="E313" s="898"/>
      <c r="F313" s="898"/>
      <c r="G313" s="898"/>
    </row>
    <row r="314" spans="1:7" s="421" customFormat="1" x14ac:dyDescent="0.15">
      <c r="A314" s="897"/>
      <c r="B314" s="898"/>
      <c r="C314" s="898"/>
      <c r="D314" s="898"/>
      <c r="E314" s="898"/>
      <c r="F314" s="898"/>
      <c r="G314" s="898"/>
    </row>
    <row r="315" spans="1:7" s="421" customFormat="1" x14ac:dyDescent="0.15">
      <c r="A315" s="897"/>
      <c r="B315" s="898"/>
      <c r="C315" s="898"/>
      <c r="D315" s="898"/>
      <c r="E315" s="898"/>
      <c r="F315" s="898"/>
      <c r="G315" s="898"/>
    </row>
    <row r="316" spans="1:7" s="421" customFormat="1" x14ac:dyDescent="0.15">
      <c r="A316" s="897"/>
      <c r="B316" s="898"/>
      <c r="C316" s="898"/>
      <c r="D316" s="898"/>
      <c r="E316" s="898"/>
      <c r="F316" s="898"/>
      <c r="G316" s="898"/>
    </row>
    <row r="317" spans="1:7" s="421" customFormat="1" x14ac:dyDescent="0.15">
      <c r="A317" s="897"/>
      <c r="B317" s="898"/>
      <c r="C317" s="898"/>
      <c r="D317" s="898"/>
      <c r="E317" s="898"/>
      <c r="F317" s="898"/>
      <c r="G317" s="898"/>
    </row>
    <row r="318" spans="1:7" s="421" customFormat="1" x14ac:dyDescent="0.15">
      <c r="A318" s="897"/>
      <c r="B318" s="898"/>
      <c r="C318" s="898"/>
      <c r="D318" s="898"/>
      <c r="E318" s="898"/>
      <c r="F318" s="898"/>
      <c r="G318" s="898"/>
    </row>
    <row r="319" spans="1:7" s="421" customFormat="1" x14ac:dyDescent="0.15">
      <c r="A319" s="897"/>
      <c r="B319" s="898"/>
      <c r="C319" s="898"/>
      <c r="D319" s="898"/>
      <c r="E319" s="898"/>
      <c r="F319" s="898"/>
      <c r="G319" s="898"/>
    </row>
    <row r="320" spans="1:7" s="421" customFormat="1" x14ac:dyDescent="0.15">
      <c r="A320" s="897"/>
      <c r="B320" s="898"/>
      <c r="C320" s="898"/>
      <c r="D320" s="898"/>
      <c r="E320" s="898"/>
      <c r="F320" s="898"/>
      <c r="G320" s="898"/>
    </row>
    <row r="321" spans="1:7" s="421" customFormat="1" x14ac:dyDescent="0.15">
      <c r="A321" s="897"/>
      <c r="B321" s="898"/>
      <c r="C321" s="898"/>
      <c r="D321" s="898"/>
      <c r="E321" s="898"/>
      <c r="F321" s="898"/>
      <c r="G321" s="898"/>
    </row>
    <row r="322" spans="1:7" s="421" customFormat="1" x14ac:dyDescent="0.15">
      <c r="A322" s="897"/>
      <c r="B322" s="898"/>
      <c r="C322" s="898"/>
      <c r="D322" s="898"/>
      <c r="E322" s="898"/>
      <c r="F322" s="898"/>
      <c r="G322" s="898"/>
    </row>
    <row r="323" spans="1:7" s="421" customFormat="1" x14ac:dyDescent="0.15">
      <c r="A323" s="897"/>
      <c r="B323" s="898"/>
      <c r="C323" s="898"/>
      <c r="D323" s="898"/>
      <c r="E323" s="898"/>
      <c r="F323" s="898"/>
      <c r="G323" s="898"/>
    </row>
    <row r="324" spans="1:7" s="421" customFormat="1" x14ac:dyDescent="0.15">
      <c r="A324" s="897"/>
      <c r="B324" s="898"/>
      <c r="C324" s="898"/>
      <c r="D324" s="898"/>
      <c r="E324" s="898"/>
      <c r="F324" s="898"/>
      <c r="G324" s="898"/>
    </row>
    <row r="325" spans="1:7" s="421" customFormat="1" x14ac:dyDescent="0.15">
      <c r="A325" s="897"/>
      <c r="B325" s="898"/>
      <c r="C325" s="898"/>
      <c r="D325" s="898"/>
      <c r="E325" s="898"/>
      <c r="F325" s="898"/>
      <c r="G325" s="898"/>
    </row>
    <row r="326" spans="1:7" s="421" customFormat="1" x14ac:dyDescent="0.15">
      <c r="A326" s="897"/>
      <c r="B326" s="898"/>
      <c r="C326" s="898"/>
      <c r="D326" s="898"/>
      <c r="E326" s="898"/>
      <c r="F326" s="898"/>
      <c r="G326" s="898"/>
    </row>
    <row r="327" spans="1:7" s="421" customFormat="1" x14ac:dyDescent="0.15">
      <c r="A327" s="897"/>
      <c r="B327" s="898"/>
      <c r="C327" s="898"/>
      <c r="D327" s="898"/>
      <c r="E327" s="898"/>
      <c r="F327" s="898"/>
      <c r="G327" s="898"/>
    </row>
    <row r="328" spans="1:7" s="421" customFormat="1" x14ac:dyDescent="0.15">
      <c r="A328" s="897"/>
      <c r="B328" s="898"/>
      <c r="C328" s="898"/>
      <c r="D328" s="898"/>
      <c r="E328" s="898"/>
      <c r="F328" s="898"/>
      <c r="G328" s="898"/>
    </row>
    <row r="329" spans="1:7" s="421" customFormat="1" x14ac:dyDescent="0.15">
      <c r="A329" s="897"/>
      <c r="B329" s="898"/>
      <c r="C329" s="898"/>
      <c r="D329" s="898"/>
      <c r="E329" s="898"/>
      <c r="F329" s="898"/>
      <c r="G329" s="898"/>
    </row>
    <row r="330" spans="1:7" s="421" customFormat="1" x14ac:dyDescent="0.15">
      <c r="A330" s="897"/>
      <c r="B330" s="898"/>
      <c r="C330" s="898"/>
      <c r="D330" s="898"/>
      <c r="E330" s="898"/>
      <c r="F330" s="898"/>
      <c r="G330" s="898"/>
    </row>
    <row r="331" spans="1:7" s="421" customFormat="1" x14ac:dyDescent="0.15">
      <c r="A331" s="897"/>
      <c r="B331" s="898"/>
      <c r="C331" s="898"/>
      <c r="D331" s="898"/>
      <c r="E331" s="898"/>
      <c r="F331" s="898"/>
      <c r="G331" s="898"/>
    </row>
    <row r="332" spans="1:7" s="421" customFormat="1" x14ac:dyDescent="0.15">
      <c r="A332" s="897"/>
      <c r="B332" s="898"/>
      <c r="C332" s="898"/>
      <c r="D332" s="898"/>
      <c r="E332" s="898"/>
      <c r="F332" s="898"/>
      <c r="G332" s="898"/>
    </row>
    <row r="333" spans="1:7" s="421" customFormat="1" x14ac:dyDescent="0.15">
      <c r="A333" s="897"/>
      <c r="B333" s="898"/>
      <c r="C333" s="898"/>
      <c r="D333" s="898"/>
      <c r="E333" s="898"/>
      <c r="F333" s="898"/>
      <c r="G333" s="898"/>
    </row>
    <row r="334" spans="1:7" s="421" customFormat="1" x14ac:dyDescent="0.15">
      <c r="A334" s="897"/>
      <c r="B334" s="898"/>
      <c r="C334" s="898"/>
      <c r="D334" s="898"/>
      <c r="E334" s="898"/>
      <c r="F334" s="898"/>
      <c r="G334" s="898"/>
    </row>
    <row r="335" spans="1:7" s="421" customFormat="1" x14ac:dyDescent="0.15">
      <c r="A335" s="897"/>
      <c r="B335" s="898"/>
      <c r="C335" s="898"/>
      <c r="D335" s="898"/>
      <c r="E335" s="898"/>
      <c r="F335" s="898"/>
      <c r="G335" s="898"/>
    </row>
    <row r="336" spans="1:7" s="421" customFormat="1" x14ac:dyDescent="0.15">
      <c r="A336" s="897"/>
      <c r="B336" s="898"/>
      <c r="C336" s="898"/>
      <c r="D336" s="898"/>
      <c r="E336" s="898"/>
      <c r="F336" s="898"/>
      <c r="G336" s="898"/>
    </row>
    <row r="337" spans="1:7" s="421" customFormat="1" x14ac:dyDescent="0.15">
      <c r="A337" s="897"/>
      <c r="B337" s="898"/>
      <c r="C337" s="898"/>
      <c r="D337" s="898"/>
      <c r="E337" s="898"/>
      <c r="F337" s="898"/>
      <c r="G337" s="898"/>
    </row>
    <row r="338" spans="1:7" s="421" customFormat="1" x14ac:dyDescent="0.15">
      <c r="A338" s="897"/>
      <c r="B338" s="898"/>
      <c r="C338" s="898"/>
      <c r="D338" s="898"/>
      <c r="E338" s="898"/>
      <c r="F338" s="898"/>
      <c r="G338" s="898"/>
    </row>
    <row r="339" spans="1:7" s="421" customFormat="1" x14ac:dyDescent="0.15">
      <c r="A339" s="897"/>
      <c r="B339" s="898"/>
      <c r="C339" s="898"/>
      <c r="D339" s="898"/>
      <c r="E339" s="898"/>
      <c r="F339" s="898"/>
      <c r="G339" s="898"/>
    </row>
    <row r="340" spans="1:7" s="421" customFormat="1" x14ac:dyDescent="0.15">
      <c r="A340" s="897"/>
      <c r="B340" s="898"/>
      <c r="C340" s="898"/>
      <c r="D340" s="898"/>
      <c r="E340" s="898"/>
      <c r="F340" s="898"/>
      <c r="G340" s="898"/>
    </row>
    <row r="341" spans="1:7" s="421" customFormat="1" x14ac:dyDescent="0.15">
      <c r="A341" s="897"/>
      <c r="B341" s="898"/>
      <c r="C341" s="898"/>
      <c r="D341" s="898"/>
      <c r="E341" s="898"/>
      <c r="F341" s="898"/>
      <c r="G341" s="898"/>
    </row>
    <row r="342" spans="1:7" s="421" customFormat="1" x14ac:dyDescent="0.15">
      <c r="A342" s="897"/>
      <c r="B342" s="898"/>
      <c r="C342" s="898"/>
      <c r="D342" s="898"/>
      <c r="E342" s="898"/>
      <c r="F342" s="898"/>
      <c r="G342" s="898"/>
    </row>
    <row r="343" spans="1:7" s="421" customFormat="1" x14ac:dyDescent="0.15">
      <c r="A343" s="897"/>
      <c r="B343" s="898"/>
      <c r="C343" s="898"/>
      <c r="D343" s="898"/>
      <c r="E343" s="898"/>
      <c r="F343" s="898"/>
      <c r="G343" s="898"/>
    </row>
    <row r="344" spans="1:7" s="421" customFormat="1" x14ac:dyDescent="0.15">
      <c r="A344" s="897"/>
      <c r="B344" s="898"/>
      <c r="C344" s="898"/>
      <c r="D344" s="898"/>
      <c r="E344" s="898"/>
      <c r="F344" s="898"/>
      <c r="G344" s="898"/>
    </row>
    <row r="345" spans="1:7" s="421" customFormat="1" x14ac:dyDescent="0.15">
      <c r="A345" s="897"/>
      <c r="B345" s="898"/>
      <c r="C345" s="898"/>
      <c r="D345" s="898"/>
      <c r="E345" s="898"/>
      <c r="F345" s="898"/>
      <c r="G345" s="898"/>
    </row>
    <row r="346" spans="1:7" s="421" customFormat="1" x14ac:dyDescent="0.15">
      <c r="A346" s="897"/>
      <c r="B346" s="898"/>
      <c r="C346" s="898"/>
      <c r="D346" s="898"/>
      <c r="E346" s="898"/>
      <c r="F346" s="898"/>
      <c r="G346" s="898"/>
    </row>
    <row r="347" spans="1:7" s="421" customFormat="1" x14ac:dyDescent="0.15">
      <c r="A347" s="897"/>
      <c r="B347" s="898"/>
      <c r="C347" s="898"/>
      <c r="D347" s="898"/>
      <c r="E347" s="898"/>
      <c r="F347" s="898"/>
      <c r="G347" s="898"/>
    </row>
    <row r="348" spans="1:7" s="421" customFormat="1" x14ac:dyDescent="0.15">
      <c r="A348" s="897"/>
      <c r="B348" s="898"/>
      <c r="C348" s="898"/>
      <c r="D348" s="898"/>
      <c r="E348" s="898"/>
      <c r="F348" s="898"/>
      <c r="G348" s="898"/>
    </row>
    <row r="349" spans="1:7" s="421" customFormat="1" x14ac:dyDescent="0.15">
      <c r="A349" s="897"/>
      <c r="B349" s="898"/>
      <c r="C349" s="898"/>
      <c r="D349" s="898"/>
      <c r="E349" s="898"/>
      <c r="F349" s="898"/>
      <c r="G349" s="898"/>
    </row>
    <row r="350" spans="1:7" s="421" customFormat="1" x14ac:dyDescent="0.15">
      <c r="A350" s="897"/>
      <c r="B350" s="898"/>
      <c r="C350" s="898"/>
      <c r="D350" s="898"/>
      <c r="E350" s="898"/>
      <c r="F350" s="898"/>
      <c r="G350" s="898"/>
    </row>
    <row r="351" spans="1:7" s="421" customFormat="1" x14ac:dyDescent="0.15">
      <c r="A351" s="897"/>
      <c r="B351" s="898"/>
      <c r="C351" s="898"/>
      <c r="D351" s="898"/>
      <c r="E351" s="898"/>
      <c r="F351" s="898"/>
      <c r="G351" s="898"/>
    </row>
    <row r="352" spans="1:7" s="421" customFormat="1" x14ac:dyDescent="0.15">
      <c r="A352" s="897"/>
      <c r="B352" s="898"/>
      <c r="C352" s="898"/>
      <c r="D352" s="898"/>
      <c r="E352" s="898"/>
      <c r="F352" s="898"/>
      <c r="G352" s="898"/>
    </row>
    <row r="353" spans="1:7" s="421" customFormat="1" x14ac:dyDescent="0.15">
      <c r="A353" s="897"/>
      <c r="B353" s="898"/>
      <c r="C353" s="898"/>
      <c r="D353" s="898"/>
      <c r="E353" s="898"/>
      <c r="F353" s="898"/>
      <c r="G353" s="898"/>
    </row>
    <row r="354" spans="1:7" s="421" customFormat="1" x14ac:dyDescent="0.15">
      <c r="A354" s="897"/>
      <c r="B354" s="898"/>
      <c r="C354" s="898"/>
      <c r="D354" s="898"/>
      <c r="E354" s="898"/>
      <c r="F354" s="898"/>
      <c r="G354" s="898"/>
    </row>
    <row r="355" spans="1:7" s="421" customFormat="1" x14ac:dyDescent="0.15">
      <c r="A355" s="897"/>
      <c r="B355" s="898"/>
      <c r="C355" s="898"/>
      <c r="D355" s="898"/>
      <c r="E355" s="898"/>
      <c r="F355" s="898"/>
      <c r="G355" s="898"/>
    </row>
    <row r="356" spans="1:7" s="421" customFormat="1" x14ac:dyDescent="0.15">
      <c r="A356" s="897"/>
      <c r="B356" s="898"/>
      <c r="C356" s="898"/>
      <c r="D356" s="898"/>
      <c r="E356" s="898"/>
      <c r="F356" s="898"/>
      <c r="G356" s="898"/>
    </row>
    <row r="357" spans="1:7" s="421" customFormat="1" x14ac:dyDescent="0.15">
      <c r="A357" s="897"/>
      <c r="B357" s="898"/>
      <c r="C357" s="898"/>
      <c r="D357" s="898"/>
      <c r="E357" s="898"/>
      <c r="F357" s="898"/>
      <c r="G357" s="898"/>
    </row>
    <row r="358" spans="1:7" s="421" customFormat="1" x14ac:dyDescent="0.15">
      <c r="A358" s="897"/>
      <c r="B358" s="898"/>
      <c r="C358" s="898"/>
      <c r="D358" s="898"/>
      <c r="E358" s="898"/>
      <c r="F358" s="898"/>
      <c r="G358" s="898"/>
    </row>
    <row r="359" spans="1:7" s="421" customFormat="1" x14ac:dyDescent="0.15">
      <c r="A359" s="897"/>
      <c r="B359" s="898"/>
      <c r="C359" s="898"/>
      <c r="D359" s="898"/>
      <c r="E359" s="898"/>
      <c r="F359" s="898"/>
      <c r="G359" s="898"/>
    </row>
    <row r="360" spans="1:7" s="421" customFormat="1" x14ac:dyDescent="0.15">
      <c r="A360" s="897"/>
      <c r="B360" s="898"/>
      <c r="C360" s="898"/>
      <c r="D360" s="898"/>
      <c r="E360" s="898"/>
      <c r="F360" s="898"/>
      <c r="G360" s="898"/>
    </row>
    <row r="361" spans="1:7" s="421" customFormat="1" x14ac:dyDescent="0.15">
      <c r="A361" s="897"/>
      <c r="B361" s="898"/>
      <c r="C361" s="898"/>
      <c r="D361" s="898"/>
      <c r="E361" s="898"/>
      <c r="F361" s="898"/>
      <c r="G361" s="898"/>
    </row>
    <row r="362" spans="1:7" s="421" customFormat="1" x14ac:dyDescent="0.15">
      <c r="A362" s="897"/>
      <c r="B362" s="337"/>
      <c r="C362" s="337"/>
      <c r="D362" s="898"/>
      <c r="E362" s="898"/>
      <c r="F362" s="898"/>
      <c r="G362" s="898"/>
    </row>
    <row r="363" spans="1:7" s="421" customFormat="1" x14ac:dyDescent="0.15">
      <c r="B363" s="337"/>
      <c r="C363" s="337"/>
      <c r="D363" s="337"/>
      <c r="E363" s="337"/>
      <c r="F363" s="337"/>
      <c r="G363" s="337"/>
    </row>
    <row r="364" spans="1:7" s="421" customFormat="1" x14ac:dyDescent="0.15">
      <c r="B364" s="337"/>
      <c r="C364" s="337"/>
      <c r="D364" s="337"/>
      <c r="E364" s="337"/>
      <c r="F364" s="337"/>
      <c r="G364" s="337"/>
    </row>
    <row r="365" spans="1:7" s="421" customFormat="1" x14ac:dyDescent="0.15">
      <c r="B365" s="337"/>
      <c r="C365" s="337"/>
      <c r="D365" s="337"/>
      <c r="E365" s="337"/>
      <c r="F365" s="337"/>
      <c r="G365" s="337"/>
    </row>
    <row r="366" spans="1:7" s="421" customFormat="1" x14ac:dyDescent="0.15">
      <c r="B366" s="337"/>
      <c r="C366" s="337"/>
      <c r="D366" s="337"/>
      <c r="E366" s="337"/>
      <c r="F366" s="337"/>
      <c r="G366" s="321"/>
    </row>
    <row r="367" spans="1:7" x14ac:dyDescent="0.15">
      <c r="B367" s="337"/>
      <c r="C367" s="337"/>
      <c r="D367" s="337"/>
      <c r="E367" s="337"/>
      <c r="F367" s="337"/>
    </row>
  </sheetData>
  <sheetProtection algorithmName="SHA-512" hashValue="ji/9n4kTITfMLPQuM7Pg7qk5jzcnnO3w9O/aTB04qsNl43AzTq33yzUIq3Hzao110WoIkip+xBYanGTauNcGJw==" saltValue="7vGN/tQJQMBDqs93GZbxJg==" spinCount="100000" sheet="1" formatColumns="0" selectLockedCells="1"/>
  <mergeCells count="90">
    <mergeCell ref="B208:F208"/>
    <mergeCell ref="B190:F190"/>
    <mergeCell ref="B193:F193"/>
    <mergeCell ref="B196:F196"/>
    <mergeCell ref="B199:F199"/>
    <mergeCell ref="B202:F202"/>
    <mergeCell ref="B205:F205"/>
    <mergeCell ref="B172:F172"/>
    <mergeCell ref="B175:F175"/>
    <mergeCell ref="B178:F178"/>
    <mergeCell ref="B181:F181"/>
    <mergeCell ref="B184:F184"/>
    <mergeCell ref="B187:F187"/>
    <mergeCell ref="B145:F145"/>
    <mergeCell ref="B127:F127"/>
    <mergeCell ref="B130:F130"/>
    <mergeCell ref="B133:F133"/>
    <mergeCell ref="B136:F136"/>
    <mergeCell ref="B139:F139"/>
    <mergeCell ref="B142:F142"/>
    <mergeCell ref="B166:F166"/>
    <mergeCell ref="B169:F169"/>
    <mergeCell ref="B148:F148"/>
    <mergeCell ref="B151:F151"/>
    <mergeCell ref="B154:F154"/>
    <mergeCell ref="B157:F157"/>
    <mergeCell ref="B160:F160"/>
    <mergeCell ref="B163:F163"/>
    <mergeCell ref="B36:G36"/>
    <mergeCell ref="B39:C39"/>
    <mergeCell ref="B53:F53"/>
    <mergeCell ref="B56:F56"/>
    <mergeCell ref="B59:F59"/>
    <mergeCell ref="B19:C19"/>
    <mergeCell ref="B6:G6"/>
    <mergeCell ref="E11:G11"/>
    <mergeCell ref="E12:G12"/>
    <mergeCell ref="F23:G23"/>
    <mergeCell ref="D15:G15"/>
    <mergeCell ref="F22:G22"/>
    <mergeCell ref="B23:C23"/>
    <mergeCell ref="B16:G16"/>
    <mergeCell ref="D19:E19"/>
    <mergeCell ref="C2:F2"/>
    <mergeCell ref="E8:G8"/>
    <mergeCell ref="E9:G9"/>
    <mergeCell ref="E10:G10"/>
    <mergeCell ref="C3:F3"/>
    <mergeCell ref="D24:E24"/>
    <mergeCell ref="B221:G221"/>
    <mergeCell ref="B48:E48"/>
    <mergeCell ref="B41:G41"/>
    <mergeCell ref="B46:E46"/>
    <mergeCell ref="B50:E50"/>
    <mergeCell ref="B85:F85"/>
    <mergeCell ref="B218:G218"/>
    <mergeCell ref="B216:G216"/>
    <mergeCell ref="B88:F88"/>
    <mergeCell ref="B91:F91"/>
    <mergeCell ref="B94:F94"/>
    <mergeCell ref="B97:F97"/>
    <mergeCell ref="B100:F100"/>
    <mergeCell ref="B211:G215"/>
    <mergeCell ref="B210:G210"/>
    <mergeCell ref="B30:G30"/>
    <mergeCell ref="B33:C33"/>
    <mergeCell ref="B34:C34"/>
    <mergeCell ref="B82:F82"/>
    <mergeCell ref="F19:G19"/>
    <mergeCell ref="B22:C22"/>
    <mergeCell ref="D22:E22"/>
    <mergeCell ref="F26:G26"/>
    <mergeCell ref="D25:E25"/>
    <mergeCell ref="B26:C26"/>
    <mergeCell ref="D26:E26"/>
    <mergeCell ref="F25:G25"/>
    <mergeCell ref="D23:E23"/>
    <mergeCell ref="F24:G24"/>
    <mergeCell ref="B25:C25"/>
    <mergeCell ref="B24:C24"/>
    <mergeCell ref="B124:F124"/>
    <mergeCell ref="B44:E44"/>
    <mergeCell ref="B115:F115"/>
    <mergeCell ref="B118:F118"/>
    <mergeCell ref="B121:F121"/>
    <mergeCell ref="B106:F106"/>
    <mergeCell ref="B109:F109"/>
    <mergeCell ref="B112:F112"/>
    <mergeCell ref="B103:F103"/>
    <mergeCell ref="B62:F62"/>
  </mergeCells>
  <phoneticPr fontId="0" type="noConversion"/>
  <dataValidations count="1">
    <dataValidation type="whole" allowBlank="1" showInputMessage="1" showErrorMessage="1" errorTitle="ATTENZIONE" error="INSERIRE SOLO VALORI NUMERICI INTERI" sqref="G53 G85 G139 G142 G109 G106 G103 G56 G127 G97 G82 G88 G62 G59 G100 G94 G118 G115 G112 G133 G130 G91 G136 G121 G124 G151 G145 G148 G154 G157 G160 G163 G166 G169 G208 G172 G178 G181 G184 G187 G190 G202 G205 G175 G193 G196 G199">
      <formula1>0</formula1>
      <formula2>999999999999</formula2>
    </dataValidation>
  </dataValidations>
  <printOptions horizontalCentered="1"/>
  <pageMargins left="0.4" right="0.39" top="0.38" bottom="0.23" header="0.15748031496062992" footer="0.15748031496062992"/>
  <pageSetup paperSize="9" scale="66" fitToHeight="2"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1"/>
  <dimension ref="A1:AG54"/>
  <sheetViews>
    <sheetView showGridLines="0" workbookViewId="0">
      <pane xSplit="2" ySplit="14" topLeftCell="C15" activePane="bottomRight" state="frozen"/>
      <selection activeCell="A2" sqref="A2"/>
      <selection pane="topRight" activeCell="A2" sqref="A2"/>
      <selection pane="bottomLeft" activeCell="A2" sqref="A2"/>
      <selection pane="bottomRight" activeCell="J21" sqref="J21"/>
    </sheetView>
  </sheetViews>
  <sheetFormatPr defaultColWidth="9.33203125" defaultRowHeight="11.25" x14ac:dyDescent="0.2"/>
  <cols>
    <col min="1" max="1" width="38.6640625" style="3" customWidth="1"/>
    <col min="2" max="2" width="9.1640625" style="2" customWidth="1"/>
    <col min="3" max="6" width="5.33203125" style="2" customWidth="1"/>
    <col min="7" max="30" width="5.33203125" style="3" customWidth="1"/>
    <col min="31" max="31" width="12" style="3" customWidth="1"/>
    <col min="32" max="54" width="3.6640625" style="3" customWidth="1"/>
    <col min="55" max="16384" width="9.33203125" style="3"/>
  </cols>
  <sheetData>
    <row r="1" spans="1:31" ht="43.5" customHeight="1" x14ac:dyDescent="0.2">
      <c r="A1" s="1486" t="str">
        <f>'t1'!A1</f>
        <v>REGIONE VALLE D'AOSTA - anno 2024</v>
      </c>
      <c r="B1" s="1486"/>
      <c r="C1" s="1486"/>
      <c r="D1" s="1486"/>
      <c r="E1" s="1486"/>
      <c r="F1" s="1486"/>
      <c r="G1" s="1486"/>
      <c r="H1" s="1486"/>
      <c r="I1" s="1486"/>
      <c r="J1" s="1486"/>
      <c r="K1" s="1486"/>
      <c r="L1" s="1486"/>
      <c r="M1" s="1486"/>
      <c r="N1" s="1486"/>
      <c r="O1" s="1486"/>
      <c r="P1" s="1486"/>
      <c r="Q1" s="1486"/>
      <c r="R1" s="1486"/>
      <c r="S1" s="1486"/>
      <c r="T1" s="1486"/>
      <c r="U1" s="1486"/>
      <c r="V1" s="1486"/>
      <c r="W1" s="1486"/>
      <c r="X1" s="1486"/>
      <c r="Y1" s="1486"/>
      <c r="Z1" s="1486"/>
      <c r="AA1" s="1486"/>
      <c r="AB1" s="1486"/>
      <c r="AC1" s="1486"/>
      <c r="AD1" s="1486"/>
      <c r="AE1" s="270"/>
    </row>
    <row r="2" spans="1:31" ht="45.6" customHeight="1" thickBot="1" x14ac:dyDescent="0.25">
      <c r="A2" s="1"/>
      <c r="AE2" s="406"/>
    </row>
    <row r="3" spans="1:31" ht="13.7" hidden="1" customHeight="1" x14ac:dyDescent="0.2">
      <c r="A3" s="1"/>
      <c r="AE3" s="499"/>
    </row>
    <row r="4" spans="1:31" ht="13.7" hidden="1" customHeight="1" x14ac:dyDescent="0.2">
      <c r="A4" s="1"/>
      <c r="AE4" s="499"/>
    </row>
    <row r="5" spans="1:31" ht="13.7" hidden="1" customHeight="1" x14ac:dyDescent="0.2">
      <c r="A5" s="1"/>
      <c r="AE5" s="499"/>
    </row>
    <row r="6" spans="1:31" ht="13.7" hidden="1" customHeight="1" x14ac:dyDescent="0.2">
      <c r="A6" s="1"/>
      <c r="AE6" s="499"/>
    </row>
    <row r="7" spans="1:31" ht="13.7" hidden="1" customHeight="1" x14ac:dyDescent="0.2">
      <c r="A7" s="1"/>
      <c r="AE7" s="499"/>
    </row>
    <row r="8" spans="1:31" ht="13.7" hidden="1" customHeight="1" x14ac:dyDescent="0.2">
      <c r="A8" s="1"/>
      <c r="AE8" s="499"/>
    </row>
    <row r="9" spans="1:31" ht="13.7" hidden="1" customHeight="1" x14ac:dyDescent="0.2">
      <c r="A9" s="1"/>
      <c r="AE9" s="499"/>
    </row>
    <row r="10" spans="1:31" ht="13.7" hidden="1" customHeight="1" x14ac:dyDescent="0.2">
      <c r="A10" s="1"/>
      <c r="AE10" s="499"/>
    </row>
    <row r="11" spans="1:31" ht="13.7" hidden="1" customHeight="1" thickBot="1" x14ac:dyDescent="0.25">
      <c r="A11" s="1"/>
      <c r="AE11" s="499"/>
    </row>
    <row r="12" spans="1:31" ht="13.5" thickBot="1" x14ac:dyDescent="0.25">
      <c r="A12" s="263"/>
      <c r="B12" s="8"/>
      <c r="C12" s="1498" t="s">
        <v>67</v>
      </c>
      <c r="D12" s="1498"/>
      <c r="E12" s="1498"/>
      <c r="F12" s="1498"/>
      <c r="G12" s="1498"/>
      <c r="H12" s="1498"/>
      <c r="I12" s="1498"/>
      <c r="J12" s="1498"/>
      <c r="K12" s="1498"/>
      <c r="L12" s="1498"/>
      <c r="M12" s="1498"/>
      <c r="N12" s="1498"/>
      <c r="O12" s="1498"/>
      <c r="P12" s="1498"/>
      <c r="Q12" s="1498"/>
      <c r="R12" s="1498"/>
      <c r="S12" s="1498"/>
      <c r="T12" s="1498"/>
      <c r="U12" s="1498"/>
      <c r="V12" s="1498"/>
      <c r="W12" s="1498"/>
      <c r="X12" s="1498"/>
      <c r="Y12" s="1498"/>
      <c r="Z12" s="1498"/>
      <c r="AA12" s="1498"/>
      <c r="AB12" s="1498"/>
      <c r="AC12" s="1498"/>
      <c r="AD12" s="1498"/>
      <c r="AE12" s="194"/>
    </row>
    <row r="13" spans="1:31" s="85" customFormat="1" ht="16.5" customHeight="1" thickTop="1" x14ac:dyDescent="0.2">
      <c r="A13" s="266"/>
      <c r="B13" s="264"/>
      <c r="C13" s="1496" t="s">
        <v>175</v>
      </c>
      <c r="D13" s="1497"/>
      <c r="E13" s="1497"/>
      <c r="F13" s="1497"/>
      <c r="G13" s="1497"/>
      <c r="H13" s="1497"/>
      <c r="I13" s="1497"/>
      <c r="J13" s="1497"/>
      <c r="K13" s="1497"/>
      <c r="L13" s="1497"/>
      <c r="M13" s="1497"/>
      <c r="N13" s="1497"/>
      <c r="O13" s="1497"/>
      <c r="P13" s="1497"/>
      <c r="Q13" s="1497"/>
      <c r="R13" s="1497"/>
      <c r="S13" s="1497"/>
      <c r="T13" s="1497"/>
      <c r="U13" s="1497"/>
      <c r="V13" s="1497"/>
      <c r="W13" s="1497"/>
      <c r="X13" s="1497"/>
      <c r="Y13" s="1497"/>
      <c r="Z13" s="1497"/>
      <c r="AA13" s="1497"/>
      <c r="AB13" s="1497"/>
      <c r="AC13" s="1497"/>
      <c r="AD13" s="1497"/>
      <c r="AE13" s="267"/>
    </row>
    <row r="14" spans="1:31" ht="63.75" customHeight="1" thickBot="1" x14ac:dyDescent="0.25">
      <c r="A14" s="262" t="s">
        <v>249</v>
      </c>
      <c r="B14" s="265" t="s">
        <v>250</v>
      </c>
      <c r="C14" s="213" t="str">
        <f>B15</f>
        <v>0D0102</v>
      </c>
      <c r="D14" s="213" t="str">
        <f>B16</f>
        <v>0D0103</v>
      </c>
      <c r="E14" s="213" t="str">
        <f>B17</f>
        <v>0D0485</v>
      </c>
      <c r="F14" s="213" t="str">
        <f>B18</f>
        <v>0D0164</v>
      </c>
      <c r="G14" s="213" t="str">
        <f>B19</f>
        <v>047000</v>
      </c>
      <c r="H14" s="213" t="str">
        <f>B20</f>
        <v>047FOR</v>
      </c>
      <c r="I14" s="213" t="str">
        <f>B21</f>
        <v>047IS3</v>
      </c>
      <c r="J14" s="213" t="str">
        <f>B22</f>
        <v>047IS2</v>
      </c>
      <c r="K14" s="213" t="str">
        <f>B23</f>
        <v>042000</v>
      </c>
      <c r="L14" s="213" t="str">
        <f>B24</f>
        <v>040000</v>
      </c>
      <c r="M14" s="214" t="str">
        <f>B25</f>
        <v>042324</v>
      </c>
      <c r="N14" s="214" t="str">
        <f>B26</f>
        <v>040211</v>
      </c>
      <c r="O14" s="213" t="str">
        <f>B27</f>
        <v>042CR1</v>
      </c>
      <c r="P14" s="213" t="str">
        <f>B28</f>
        <v>042CA0</v>
      </c>
      <c r="Q14" s="213" t="str">
        <f>B29</f>
        <v>040CS1</v>
      </c>
      <c r="R14" s="213" t="str">
        <f>B30</f>
        <v>034000</v>
      </c>
      <c r="S14" s="213" t="str">
        <f>B31</f>
        <v>033000</v>
      </c>
      <c r="T14" s="213" t="str">
        <f>B32</f>
        <v>032000</v>
      </c>
      <c r="U14" s="213" t="str">
        <f>B33</f>
        <v>030000</v>
      </c>
      <c r="V14" s="213" t="str">
        <f>B34</f>
        <v>034561</v>
      </c>
      <c r="W14" s="213" t="str">
        <f>B35</f>
        <v>032561</v>
      </c>
      <c r="X14" s="213" t="str">
        <f>B36</f>
        <v>030FOR</v>
      </c>
      <c r="Y14" s="213" t="str">
        <f>B37</f>
        <v>034VF5</v>
      </c>
      <c r="Z14" s="213" t="str">
        <f>B38</f>
        <v>032VF1</v>
      </c>
      <c r="AA14" s="213" t="str">
        <f>B39</f>
        <v>022000</v>
      </c>
      <c r="AB14" s="213" t="str">
        <f>B40</f>
        <v>000061</v>
      </c>
      <c r="AC14" s="213" t="str">
        <f>B41</f>
        <v>0D0104</v>
      </c>
      <c r="AD14" s="213" t="str">
        <f>B42</f>
        <v>000096</v>
      </c>
      <c r="AE14" s="268" t="s">
        <v>133</v>
      </c>
    </row>
    <row r="15" spans="1:31" ht="12" customHeight="1" thickTop="1" x14ac:dyDescent="0.2">
      <c r="A15" s="16" t="str">
        <f>'t1'!A6</f>
        <v>SEGRETARIO I FASCIA</v>
      </c>
      <c r="B15" s="128" t="str">
        <f>'t1'!B6</f>
        <v>0D0102</v>
      </c>
      <c r="C15" s="215"/>
      <c r="D15" s="215"/>
      <c r="E15" s="215"/>
      <c r="F15" s="215"/>
      <c r="G15" s="215"/>
      <c r="H15" s="215"/>
      <c r="I15" s="216"/>
      <c r="J15" s="216"/>
      <c r="K15" s="216"/>
      <c r="L15" s="216"/>
      <c r="M15" s="216"/>
      <c r="N15" s="216"/>
      <c r="O15" s="216"/>
      <c r="P15" s="216"/>
      <c r="Q15" s="216"/>
      <c r="R15" s="216"/>
      <c r="S15" s="216"/>
      <c r="T15" s="216"/>
      <c r="U15" s="216"/>
      <c r="V15" s="216"/>
      <c r="W15" s="216"/>
      <c r="X15" s="216"/>
      <c r="Y15" s="216"/>
      <c r="Z15" s="216"/>
      <c r="AA15" s="216"/>
      <c r="AB15" s="216"/>
      <c r="AC15" s="216"/>
      <c r="AD15" s="216"/>
      <c r="AE15" s="371">
        <f t="shared" ref="AE15:AE42" si="0">SUM(C15:AD15)</f>
        <v>0</v>
      </c>
    </row>
    <row r="16" spans="1:31" ht="12" customHeight="1" x14ac:dyDescent="0.2">
      <c r="A16" s="16" t="str">
        <f>'t1'!A7</f>
        <v>SEGRETARIO II FASCIA</v>
      </c>
      <c r="B16" s="128" t="str">
        <f>'t1'!B7</f>
        <v>0D0103</v>
      </c>
      <c r="C16" s="215"/>
      <c r="D16" s="215"/>
      <c r="E16" s="215"/>
      <c r="F16" s="215"/>
      <c r="G16" s="215"/>
      <c r="H16" s="215"/>
      <c r="I16" s="216"/>
      <c r="J16" s="216"/>
      <c r="K16" s="216"/>
      <c r="L16" s="216"/>
      <c r="M16" s="216"/>
      <c r="N16" s="216"/>
      <c r="O16" s="216"/>
      <c r="P16" s="216"/>
      <c r="Q16" s="216"/>
      <c r="R16" s="216"/>
      <c r="S16" s="216"/>
      <c r="T16" s="216"/>
      <c r="U16" s="216"/>
      <c r="V16" s="216"/>
      <c r="W16" s="216"/>
      <c r="X16" s="216"/>
      <c r="Y16" s="216"/>
      <c r="Z16" s="216"/>
      <c r="AA16" s="216"/>
      <c r="AB16" s="216"/>
      <c r="AC16" s="216"/>
      <c r="AD16" s="216"/>
      <c r="AE16" s="371">
        <f t="shared" si="0"/>
        <v>0</v>
      </c>
    </row>
    <row r="17" spans="1:31" ht="12" customHeight="1" x14ac:dyDescent="0.2">
      <c r="A17" s="16" t="str">
        <f>'t1'!A8</f>
        <v>SEGRETARIO III FASCIA</v>
      </c>
      <c r="B17" s="128" t="str">
        <f>'t1'!B8</f>
        <v>0D0485</v>
      </c>
      <c r="C17" s="215"/>
      <c r="D17" s="215"/>
      <c r="E17" s="215"/>
      <c r="F17" s="215"/>
      <c r="G17" s="215"/>
      <c r="H17" s="215"/>
      <c r="I17" s="216"/>
      <c r="J17" s="216"/>
      <c r="K17" s="216"/>
      <c r="L17" s="216"/>
      <c r="M17" s="216"/>
      <c r="N17" s="216"/>
      <c r="O17" s="216"/>
      <c r="P17" s="216"/>
      <c r="Q17" s="216"/>
      <c r="R17" s="216"/>
      <c r="S17" s="216"/>
      <c r="T17" s="216"/>
      <c r="U17" s="216"/>
      <c r="V17" s="216"/>
      <c r="W17" s="216"/>
      <c r="X17" s="216"/>
      <c r="Y17" s="216"/>
      <c r="Z17" s="216"/>
      <c r="AA17" s="216"/>
      <c r="AB17" s="216"/>
      <c r="AC17" s="216"/>
      <c r="AD17" s="216"/>
      <c r="AE17" s="371">
        <f t="shared" si="0"/>
        <v>0</v>
      </c>
    </row>
    <row r="18" spans="1:31" ht="12" customHeight="1" x14ac:dyDescent="0.2">
      <c r="A18" s="16" t="str">
        <f>'t1'!A9</f>
        <v>DIRIGENTI</v>
      </c>
      <c r="B18" s="128" t="str">
        <f>'t1'!B9</f>
        <v>0D0164</v>
      </c>
      <c r="C18" s="215"/>
      <c r="D18" s="215"/>
      <c r="E18" s="215"/>
      <c r="F18" s="215"/>
      <c r="G18" s="215"/>
      <c r="H18" s="215"/>
      <c r="I18" s="216"/>
      <c r="J18" s="216"/>
      <c r="K18" s="216"/>
      <c r="L18" s="216"/>
      <c r="M18" s="216"/>
      <c r="N18" s="216"/>
      <c r="O18" s="216"/>
      <c r="P18" s="216"/>
      <c r="Q18" s="216"/>
      <c r="R18" s="216"/>
      <c r="S18" s="216"/>
      <c r="T18" s="216"/>
      <c r="U18" s="216"/>
      <c r="V18" s="216"/>
      <c r="W18" s="216"/>
      <c r="X18" s="216"/>
      <c r="Y18" s="216"/>
      <c r="Z18" s="216"/>
      <c r="AA18" s="216"/>
      <c r="AB18" s="216"/>
      <c r="AC18" s="216"/>
      <c r="AD18" s="216"/>
      <c r="AE18" s="371">
        <f t="shared" si="0"/>
        <v>0</v>
      </c>
    </row>
    <row r="19" spans="1:31" ht="12" customHeight="1" x14ac:dyDescent="0.2">
      <c r="A19" s="16" t="str">
        <f>'t1'!A10</f>
        <v>POSIZIONE ECONOMICA D</v>
      </c>
      <c r="B19" s="128" t="str">
        <f>'t1'!B10</f>
        <v>047000</v>
      </c>
      <c r="C19" s="215"/>
      <c r="D19" s="215"/>
      <c r="E19" s="215"/>
      <c r="F19" s="215">
        <v>2</v>
      </c>
      <c r="G19" s="215"/>
      <c r="H19" s="215"/>
      <c r="I19" s="216"/>
      <c r="J19" s="216"/>
      <c r="K19" s="216"/>
      <c r="L19" s="216"/>
      <c r="M19" s="216"/>
      <c r="N19" s="216"/>
      <c r="O19" s="216"/>
      <c r="P19" s="216"/>
      <c r="Q19" s="216"/>
      <c r="R19" s="216"/>
      <c r="S19" s="216"/>
      <c r="T19" s="216"/>
      <c r="U19" s="216"/>
      <c r="V19" s="216"/>
      <c r="W19" s="216"/>
      <c r="X19" s="216"/>
      <c r="Y19" s="216"/>
      <c r="Z19" s="216"/>
      <c r="AA19" s="216"/>
      <c r="AB19" s="216"/>
      <c r="AC19" s="216"/>
      <c r="AD19" s="216"/>
      <c r="AE19" s="371">
        <f t="shared" si="0"/>
        <v>2</v>
      </c>
    </row>
    <row r="20" spans="1:31" ht="12" customHeight="1" x14ac:dyDescent="0.2">
      <c r="A20" s="16" t="str">
        <f>'t1'!A11</f>
        <v>POSIZIONE ECONOMICA D - FORESTALE</v>
      </c>
      <c r="B20" s="128" t="str">
        <f>'t1'!B11</f>
        <v>047FOR</v>
      </c>
      <c r="C20" s="215"/>
      <c r="D20" s="218"/>
      <c r="E20" s="218"/>
      <c r="F20" s="218"/>
      <c r="G20" s="215"/>
      <c r="H20" s="215"/>
      <c r="I20" s="216"/>
      <c r="J20" s="216"/>
      <c r="K20" s="216"/>
      <c r="L20" s="216"/>
      <c r="M20" s="216"/>
      <c r="N20" s="216"/>
      <c r="O20" s="216"/>
      <c r="P20" s="216"/>
      <c r="Q20" s="216"/>
      <c r="R20" s="216"/>
      <c r="S20" s="216"/>
      <c r="T20" s="216"/>
      <c r="U20" s="216"/>
      <c r="V20" s="216"/>
      <c r="W20" s="216"/>
      <c r="X20" s="216"/>
      <c r="Y20" s="216"/>
      <c r="Z20" s="216"/>
      <c r="AA20" s="216"/>
      <c r="AB20" s="216"/>
      <c r="AC20" s="216"/>
      <c r="AD20" s="216"/>
      <c r="AE20" s="371">
        <f t="shared" si="0"/>
        <v>0</v>
      </c>
    </row>
    <row r="21" spans="1:31" ht="12" customHeight="1" x14ac:dyDescent="0.2">
      <c r="A21" s="16" t="str">
        <f>'t1'!A12</f>
        <v>POSIZIONE ECONOMICA D  ISPETTORE ANTINCENDI DIRETTORE-VVFF</v>
      </c>
      <c r="B21" s="128" t="str">
        <f>'t1'!B12</f>
        <v>047IS3</v>
      </c>
      <c r="C21" s="215"/>
      <c r="D21" s="218"/>
      <c r="E21" s="218"/>
      <c r="F21" s="218"/>
      <c r="G21" s="215"/>
      <c r="H21" s="215"/>
      <c r="I21" s="216"/>
      <c r="J21" s="216">
        <v>1</v>
      </c>
      <c r="K21" s="216"/>
      <c r="L21" s="216"/>
      <c r="M21" s="216"/>
      <c r="N21" s="216"/>
      <c r="O21" s="216"/>
      <c r="P21" s="216"/>
      <c r="Q21" s="216"/>
      <c r="R21" s="216"/>
      <c r="S21" s="216"/>
      <c r="T21" s="216"/>
      <c r="U21" s="216"/>
      <c r="V21" s="216"/>
      <c r="W21" s="216"/>
      <c r="X21" s="216"/>
      <c r="Y21" s="216"/>
      <c r="Z21" s="216"/>
      <c r="AA21" s="216"/>
      <c r="AB21" s="216"/>
      <c r="AC21" s="216"/>
      <c r="AD21" s="216"/>
      <c r="AE21" s="371">
        <f t="shared" si="0"/>
        <v>1</v>
      </c>
    </row>
    <row r="22" spans="1:31" ht="12" customHeight="1" x14ac:dyDescent="0.2">
      <c r="A22" s="16" t="str">
        <f>'t1'!A13</f>
        <v>POSIZIONE ECONOMICA D  ISPETTORE ANTINCENDI  VVFF</v>
      </c>
      <c r="B22" s="128" t="str">
        <f>'t1'!B13</f>
        <v>047IS2</v>
      </c>
      <c r="C22" s="215"/>
      <c r="D22" s="215"/>
      <c r="E22" s="215"/>
      <c r="F22" s="215"/>
      <c r="G22" s="215"/>
      <c r="H22" s="215"/>
      <c r="I22" s="216"/>
      <c r="J22" s="216"/>
      <c r="K22" s="216"/>
      <c r="L22" s="216"/>
      <c r="M22" s="216"/>
      <c r="N22" s="216"/>
      <c r="O22" s="216"/>
      <c r="P22" s="216"/>
      <c r="Q22" s="216"/>
      <c r="R22" s="216"/>
      <c r="S22" s="216"/>
      <c r="T22" s="216"/>
      <c r="U22" s="216"/>
      <c r="V22" s="216"/>
      <c r="W22" s="216"/>
      <c r="X22" s="216"/>
      <c r="Y22" s="216"/>
      <c r="Z22" s="216"/>
      <c r="AA22" s="216"/>
      <c r="AB22" s="216"/>
      <c r="AC22" s="216"/>
      <c r="AD22" s="216"/>
      <c r="AE22" s="371">
        <f t="shared" si="0"/>
        <v>0</v>
      </c>
    </row>
    <row r="23" spans="1:31" ht="12" customHeight="1" x14ac:dyDescent="0.2">
      <c r="A23" s="16" t="str">
        <f>'t1'!A14</f>
        <v>POSIZIONE ECONOMICA C2</v>
      </c>
      <c r="B23" s="128" t="str">
        <f>'t1'!B14</f>
        <v>042000</v>
      </c>
      <c r="C23" s="219"/>
      <c r="D23" s="219"/>
      <c r="E23" s="219"/>
      <c r="F23" s="219"/>
      <c r="G23" s="219">
        <v>4</v>
      </c>
      <c r="H23" s="219"/>
      <c r="I23" s="218"/>
      <c r="J23" s="218"/>
      <c r="K23" s="218"/>
      <c r="L23" s="218"/>
      <c r="M23" s="218"/>
      <c r="N23" s="218"/>
      <c r="O23" s="218"/>
      <c r="P23" s="218"/>
      <c r="Q23" s="218"/>
      <c r="R23" s="218"/>
      <c r="S23" s="218"/>
      <c r="T23" s="218"/>
      <c r="U23" s="218"/>
      <c r="V23" s="218"/>
      <c r="W23" s="218">
        <v>1</v>
      </c>
      <c r="X23" s="218"/>
      <c r="Y23" s="218"/>
      <c r="Z23" s="218"/>
      <c r="AA23" s="218"/>
      <c r="AB23" s="218"/>
      <c r="AC23" s="218"/>
      <c r="AD23" s="218"/>
      <c r="AE23" s="371">
        <f t="shared" si="0"/>
        <v>5</v>
      </c>
    </row>
    <row r="24" spans="1:31" ht="12" customHeight="1" x14ac:dyDescent="0.2">
      <c r="A24" s="16" t="str">
        <f>'t1'!A15</f>
        <v>POSIZIONE ECONOMICA C1</v>
      </c>
      <c r="B24" s="128" t="str">
        <f>'t1'!B15</f>
        <v>040000</v>
      </c>
      <c r="C24" s="218"/>
      <c r="D24" s="218"/>
      <c r="E24" s="218"/>
      <c r="F24" s="218"/>
      <c r="G24" s="218"/>
      <c r="H24" s="218"/>
      <c r="I24" s="218"/>
      <c r="J24" s="218"/>
      <c r="K24" s="218">
        <v>2</v>
      </c>
      <c r="L24" s="218"/>
      <c r="M24" s="218"/>
      <c r="N24" s="218"/>
      <c r="O24" s="218"/>
      <c r="P24" s="218"/>
      <c r="Q24" s="218"/>
      <c r="R24" s="218"/>
      <c r="S24" s="218"/>
      <c r="T24" s="218"/>
      <c r="U24" s="218"/>
      <c r="V24" s="218"/>
      <c r="W24" s="218"/>
      <c r="X24" s="218"/>
      <c r="Y24" s="218"/>
      <c r="Z24" s="218"/>
      <c r="AA24" s="218"/>
      <c r="AB24" s="218"/>
      <c r="AC24" s="218"/>
      <c r="AD24" s="218"/>
      <c r="AE24" s="371">
        <f t="shared" si="0"/>
        <v>2</v>
      </c>
    </row>
    <row r="25" spans="1:31" ht="12" customHeight="1" x14ac:dyDescent="0.2">
      <c r="A25" s="16" t="str">
        <f>'t1'!A16</f>
        <v>ISPETTORE FORESTALE C21F</v>
      </c>
      <c r="B25" s="128" t="str">
        <f>'t1'!B16</f>
        <v>042324</v>
      </c>
      <c r="C25" s="218"/>
      <c r="D25" s="218"/>
      <c r="E25" s="218"/>
      <c r="F25" s="218"/>
      <c r="G25" s="218"/>
      <c r="H25" s="218"/>
      <c r="I25" s="218"/>
      <c r="J25" s="218"/>
      <c r="K25" s="218"/>
      <c r="L25" s="218"/>
      <c r="M25" s="218"/>
      <c r="N25" s="218"/>
      <c r="O25" s="218"/>
      <c r="P25" s="218"/>
      <c r="Q25" s="218"/>
      <c r="R25" s="218"/>
      <c r="S25" s="218"/>
      <c r="T25" s="218"/>
      <c r="U25" s="218"/>
      <c r="V25" s="218"/>
      <c r="W25" s="218"/>
      <c r="X25" s="218"/>
      <c r="Y25" s="218"/>
      <c r="Z25" s="218"/>
      <c r="AA25" s="218"/>
      <c r="AB25" s="218"/>
      <c r="AC25" s="218"/>
      <c r="AD25" s="218"/>
      <c r="AE25" s="371">
        <f t="shared" si="0"/>
        <v>0</v>
      </c>
    </row>
    <row r="26" spans="1:31" ht="12" customHeight="1" x14ac:dyDescent="0.2">
      <c r="A26" s="16" t="str">
        <f>'t1'!A17</f>
        <v>SOVRAINTENDENTE C1F</v>
      </c>
      <c r="B26" s="128" t="str">
        <f>'t1'!B17</f>
        <v>040211</v>
      </c>
      <c r="C26" s="215"/>
      <c r="D26" s="215"/>
      <c r="E26" s="215"/>
      <c r="F26" s="215"/>
      <c r="G26" s="215"/>
      <c r="H26" s="215"/>
      <c r="I26" s="216"/>
      <c r="J26" s="216"/>
      <c r="K26" s="216"/>
      <c r="L26" s="216"/>
      <c r="M26" s="216"/>
      <c r="N26" s="216"/>
      <c r="O26" s="216"/>
      <c r="P26" s="216"/>
      <c r="Q26" s="216"/>
      <c r="R26" s="216"/>
      <c r="S26" s="216"/>
      <c r="T26" s="216"/>
      <c r="U26" s="216"/>
      <c r="V26" s="216"/>
      <c r="W26" s="216"/>
      <c r="X26" s="216"/>
      <c r="Y26" s="216"/>
      <c r="Z26" s="216"/>
      <c r="AA26" s="216"/>
      <c r="AB26" s="216"/>
      <c r="AC26" s="216"/>
      <c r="AD26" s="216"/>
      <c r="AE26" s="371">
        <f t="shared" si="0"/>
        <v>0</v>
      </c>
    </row>
    <row r="27" spans="1:31" ht="12" customHeight="1" x14ac:dyDescent="0.2">
      <c r="A27" s="16" t="str">
        <f>'t1'!A18</f>
        <v>POSIZIONE ECONOMICA C2  CAPO REPARTO  VVFF</v>
      </c>
      <c r="B27" s="128" t="str">
        <f>'t1'!B18</f>
        <v>042CR1</v>
      </c>
      <c r="C27" s="218"/>
      <c r="D27" s="2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218"/>
      <c r="AC27" s="218"/>
      <c r="AD27" s="218"/>
      <c r="AE27" s="371">
        <f t="shared" si="0"/>
        <v>0</v>
      </c>
    </row>
    <row r="28" spans="1:31" ht="12" customHeight="1" x14ac:dyDescent="0.2">
      <c r="A28" s="16" t="str">
        <f>'t1'!A19</f>
        <v>POSIZIONE ECONOMICA C2  COLLAB. TECNICO ANTINCENDI  VVFF</v>
      </c>
      <c r="B28" s="128" t="str">
        <f>'t1'!B19</f>
        <v>042CA0</v>
      </c>
      <c r="C28" s="218"/>
      <c r="D28" s="218"/>
      <c r="E28" s="218"/>
      <c r="F28" s="218"/>
      <c r="G28" s="218"/>
      <c r="H28" s="218"/>
      <c r="I28" s="218"/>
      <c r="J28" s="218"/>
      <c r="K28" s="218"/>
      <c r="L28" s="218"/>
      <c r="M28" s="218"/>
      <c r="N28" s="218"/>
      <c r="O28" s="218"/>
      <c r="P28" s="218"/>
      <c r="Q28" s="218"/>
      <c r="R28" s="218"/>
      <c r="S28" s="218"/>
      <c r="T28" s="218"/>
      <c r="U28" s="218"/>
      <c r="V28" s="218"/>
      <c r="W28" s="218"/>
      <c r="X28" s="218"/>
      <c r="Y28" s="218"/>
      <c r="Z28" s="218"/>
      <c r="AA28" s="218"/>
      <c r="AB28" s="218"/>
      <c r="AC28" s="218"/>
      <c r="AD28" s="218"/>
      <c r="AE28" s="371">
        <f t="shared" si="0"/>
        <v>0</v>
      </c>
    </row>
    <row r="29" spans="1:31" ht="12" customHeight="1" x14ac:dyDescent="0.2">
      <c r="A29" s="16" t="str">
        <f>'t1'!A20</f>
        <v>POSIZIONE ECONOMICA C1  CAPO SQUADRA  VVFF</v>
      </c>
      <c r="B29" s="128" t="str">
        <f>'t1'!B20</f>
        <v>040CS1</v>
      </c>
      <c r="C29" s="218"/>
      <c r="D29" s="2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c r="AB29" s="218"/>
      <c r="AC29" s="218"/>
      <c r="AD29" s="218"/>
      <c r="AE29" s="371">
        <f t="shared" si="0"/>
        <v>0</v>
      </c>
    </row>
    <row r="30" spans="1:31" ht="12" customHeight="1" x14ac:dyDescent="0.2">
      <c r="A30" s="16" t="str">
        <f>'t1'!A21</f>
        <v>POSIZIONE ECONOMICA B3</v>
      </c>
      <c r="B30" s="128" t="str">
        <f>'t1'!B21</f>
        <v>034000</v>
      </c>
      <c r="C30" s="218"/>
      <c r="D30" s="218"/>
      <c r="E30" s="218"/>
      <c r="F30" s="218"/>
      <c r="G30" s="218"/>
      <c r="H30" s="218"/>
      <c r="I30" s="218"/>
      <c r="J30" s="218"/>
      <c r="K30" s="218"/>
      <c r="L30" s="218"/>
      <c r="M30" s="218"/>
      <c r="N30" s="218"/>
      <c r="O30" s="218"/>
      <c r="P30" s="218"/>
      <c r="Q30" s="218"/>
      <c r="R30" s="218"/>
      <c r="S30" s="218"/>
      <c r="T30" s="218">
        <v>1</v>
      </c>
      <c r="U30" s="218"/>
      <c r="V30" s="218"/>
      <c r="W30" s="218"/>
      <c r="X30" s="218"/>
      <c r="Y30" s="218"/>
      <c r="Z30" s="218"/>
      <c r="AA30" s="218"/>
      <c r="AB30" s="218"/>
      <c r="AC30" s="218"/>
      <c r="AD30" s="218"/>
      <c r="AE30" s="371">
        <f t="shared" si="0"/>
        <v>1</v>
      </c>
    </row>
    <row r="31" spans="1:31" ht="12" customHeight="1" x14ac:dyDescent="0.2">
      <c r="A31" s="16" t="str">
        <f>'t1'!A22</f>
        <v>POSIZIONE ECONOMICA B2S</v>
      </c>
      <c r="B31" s="128" t="str">
        <f>'t1'!B22</f>
        <v>033000</v>
      </c>
      <c r="C31" s="218"/>
      <c r="D31" s="218"/>
      <c r="E31" s="218"/>
      <c r="F31" s="218"/>
      <c r="G31" s="218"/>
      <c r="H31" s="218"/>
      <c r="I31" s="218"/>
      <c r="J31" s="218"/>
      <c r="K31" s="218"/>
      <c r="L31" s="218"/>
      <c r="M31" s="218"/>
      <c r="N31" s="218"/>
      <c r="O31" s="218"/>
      <c r="P31" s="218"/>
      <c r="Q31" s="218"/>
      <c r="R31" s="218"/>
      <c r="S31" s="218"/>
      <c r="T31" s="218"/>
      <c r="U31" s="218"/>
      <c r="V31" s="218"/>
      <c r="W31" s="218"/>
      <c r="X31" s="218"/>
      <c r="Y31" s="218"/>
      <c r="Z31" s="218"/>
      <c r="AA31" s="218"/>
      <c r="AB31" s="218"/>
      <c r="AC31" s="218"/>
      <c r="AD31" s="218"/>
      <c r="AE31" s="371">
        <f t="shared" si="0"/>
        <v>0</v>
      </c>
    </row>
    <row r="32" spans="1:31" ht="12" customHeight="1" x14ac:dyDescent="0.2">
      <c r="A32" s="16" t="str">
        <f>'t1'!A23</f>
        <v>POSIZIONE ECONOMICA B2</v>
      </c>
      <c r="B32" s="128" t="str">
        <f>'t1'!B23</f>
        <v>032000</v>
      </c>
      <c r="C32" s="218"/>
      <c r="D32" s="218"/>
      <c r="E32" s="218"/>
      <c r="F32" s="218"/>
      <c r="G32" s="218"/>
      <c r="H32" s="218"/>
      <c r="I32" s="218"/>
      <c r="J32" s="218"/>
      <c r="K32" s="218">
        <v>20</v>
      </c>
      <c r="L32" s="218"/>
      <c r="M32" s="218"/>
      <c r="N32" s="218"/>
      <c r="O32" s="218"/>
      <c r="P32" s="218"/>
      <c r="Q32" s="218"/>
      <c r="R32" s="218">
        <v>2</v>
      </c>
      <c r="S32" s="218"/>
      <c r="T32" s="218"/>
      <c r="U32" s="218"/>
      <c r="V32" s="218"/>
      <c r="W32" s="218">
        <v>1</v>
      </c>
      <c r="X32" s="218"/>
      <c r="Y32" s="218"/>
      <c r="Z32" s="218"/>
      <c r="AA32" s="218"/>
      <c r="AB32" s="218"/>
      <c r="AC32" s="218"/>
      <c r="AD32" s="218"/>
      <c r="AE32" s="371">
        <f t="shared" si="0"/>
        <v>23</v>
      </c>
    </row>
    <row r="33" spans="1:31" ht="12" customHeight="1" x14ac:dyDescent="0.2">
      <c r="A33" s="16" t="str">
        <f>'t1'!A24</f>
        <v>POSIZIONE ECONOMICA B1</v>
      </c>
      <c r="B33" s="128" t="str">
        <f>'t1'!B24</f>
        <v>030000</v>
      </c>
      <c r="C33" s="218"/>
      <c r="D33" s="218"/>
      <c r="E33" s="218"/>
      <c r="F33" s="218"/>
      <c r="G33" s="218"/>
      <c r="H33" s="218"/>
      <c r="I33" s="218"/>
      <c r="J33" s="218"/>
      <c r="K33" s="218"/>
      <c r="L33" s="218"/>
      <c r="M33" s="218"/>
      <c r="N33" s="218"/>
      <c r="O33" s="218"/>
      <c r="P33" s="218"/>
      <c r="Q33" s="218"/>
      <c r="R33" s="218"/>
      <c r="S33" s="218"/>
      <c r="T33" s="218"/>
      <c r="U33" s="218"/>
      <c r="V33" s="218"/>
      <c r="W33" s="218"/>
      <c r="X33" s="218"/>
      <c r="Y33" s="218"/>
      <c r="Z33" s="218"/>
      <c r="AA33" s="218"/>
      <c r="AB33" s="218"/>
      <c r="AC33" s="218"/>
      <c r="AD33" s="218"/>
      <c r="AE33" s="371">
        <f t="shared" si="0"/>
        <v>0</v>
      </c>
    </row>
    <row r="34" spans="1:31" ht="12" customHeight="1" x14ac:dyDescent="0.2">
      <c r="A34" s="16" t="str">
        <f>'t1'!A25</f>
        <v>POS. EC. B3-GUARDIA  FORESTALE 5 A.</v>
      </c>
      <c r="B34" s="128" t="str">
        <f>'t1'!B25</f>
        <v>034561</v>
      </c>
      <c r="C34" s="218"/>
      <c r="D34" s="218"/>
      <c r="E34" s="218"/>
      <c r="F34" s="218"/>
      <c r="G34" s="218"/>
      <c r="H34" s="218"/>
      <c r="I34" s="218"/>
      <c r="J34" s="218"/>
      <c r="K34" s="218"/>
      <c r="L34" s="218"/>
      <c r="M34" s="218"/>
      <c r="N34" s="218">
        <v>1</v>
      </c>
      <c r="O34" s="218"/>
      <c r="P34" s="218"/>
      <c r="Q34" s="218"/>
      <c r="R34" s="218"/>
      <c r="S34" s="218"/>
      <c r="T34" s="218"/>
      <c r="U34" s="218"/>
      <c r="V34" s="218"/>
      <c r="W34" s="218"/>
      <c r="X34" s="218"/>
      <c r="Y34" s="218"/>
      <c r="Z34" s="218"/>
      <c r="AA34" s="218"/>
      <c r="AB34" s="218"/>
      <c r="AC34" s="218"/>
      <c r="AD34" s="218"/>
      <c r="AE34" s="371">
        <f t="shared" si="0"/>
        <v>1</v>
      </c>
    </row>
    <row r="35" spans="1:31" ht="12" customHeight="1" x14ac:dyDescent="0.2">
      <c r="A35" s="16" t="str">
        <f>'t1'!A26</f>
        <v>POS. EC. B2-GUARDIA  FORESTALE</v>
      </c>
      <c r="B35" s="128" t="str">
        <f>'t1'!B26</f>
        <v>032561</v>
      </c>
      <c r="C35" s="218"/>
      <c r="D35" s="218"/>
      <c r="E35" s="218"/>
      <c r="F35" s="218"/>
      <c r="G35" s="218"/>
      <c r="H35" s="218"/>
      <c r="I35" s="218"/>
      <c r="J35" s="218"/>
      <c r="K35" s="218"/>
      <c r="L35" s="218"/>
      <c r="M35" s="218"/>
      <c r="N35" s="218">
        <v>6</v>
      </c>
      <c r="O35" s="218"/>
      <c r="P35" s="218"/>
      <c r="Q35" s="218"/>
      <c r="R35" s="218"/>
      <c r="S35" s="218"/>
      <c r="T35" s="218"/>
      <c r="U35" s="218"/>
      <c r="V35" s="218"/>
      <c r="W35" s="218"/>
      <c r="X35" s="218"/>
      <c r="Y35" s="218"/>
      <c r="Z35" s="218"/>
      <c r="AA35" s="218"/>
      <c r="AB35" s="218"/>
      <c r="AC35" s="218"/>
      <c r="AD35" s="218"/>
      <c r="AE35" s="371">
        <f t="shared" si="0"/>
        <v>6</v>
      </c>
    </row>
    <row r="36" spans="1:31" ht="12" customHeight="1" x14ac:dyDescent="0.2">
      <c r="A36" s="16" t="str">
        <f>'t1'!A27</f>
        <v>POSIZIONE ECONOMICA B1 - FORESTALE</v>
      </c>
      <c r="B36" s="128" t="str">
        <f>'t1'!B27</f>
        <v>030FOR</v>
      </c>
      <c r="C36" s="218"/>
      <c r="D36" s="218"/>
      <c r="E36" s="218"/>
      <c r="F36" s="218"/>
      <c r="G36" s="218"/>
      <c r="H36" s="218"/>
      <c r="I36" s="218"/>
      <c r="J36" s="218"/>
      <c r="K36" s="218"/>
      <c r="L36" s="218"/>
      <c r="M36" s="218"/>
      <c r="N36" s="218"/>
      <c r="O36" s="218"/>
      <c r="P36" s="218"/>
      <c r="Q36" s="218"/>
      <c r="R36" s="218"/>
      <c r="S36" s="218"/>
      <c r="T36" s="218"/>
      <c r="U36" s="218"/>
      <c r="V36" s="218"/>
      <c r="W36" s="218"/>
      <c r="X36" s="218"/>
      <c r="Y36" s="218"/>
      <c r="Z36" s="218"/>
      <c r="AA36" s="218"/>
      <c r="AB36" s="218"/>
      <c r="AC36" s="218"/>
      <c r="AD36" s="218"/>
      <c r="AE36" s="371">
        <f t="shared" si="0"/>
        <v>0</v>
      </c>
    </row>
    <row r="37" spans="1:31" ht="12" customHeight="1" x14ac:dyDescent="0.2">
      <c r="A37" s="16" t="str">
        <f>'t1'!A28</f>
        <v>POSIZIONE ECONOMICA B3  VIGILE DEL FUOCO &gt; 5 ANNI</v>
      </c>
      <c r="B37" s="128" t="str">
        <f>'t1'!B28</f>
        <v>034VF5</v>
      </c>
      <c r="C37" s="218"/>
      <c r="D37" s="218"/>
      <c r="E37" s="218"/>
      <c r="F37" s="218"/>
      <c r="G37" s="218"/>
      <c r="H37" s="218"/>
      <c r="I37" s="218"/>
      <c r="J37" s="218"/>
      <c r="K37" s="218"/>
      <c r="L37" s="218"/>
      <c r="M37" s="218"/>
      <c r="N37" s="218"/>
      <c r="O37" s="218"/>
      <c r="P37" s="218"/>
      <c r="Q37" s="218"/>
      <c r="R37" s="218"/>
      <c r="S37" s="218"/>
      <c r="T37" s="218"/>
      <c r="U37" s="218"/>
      <c r="V37" s="218"/>
      <c r="W37" s="218"/>
      <c r="X37" s="218"/>
      <c r="Y37" s="218"/>
      <c r="Z37" s="218"/>
      <c r="AA37" s="218"/>
      <c r="AB37" s="218"/>
      <c r="AC37" s="218"/>
      <c r="AD37" s="218"/>
      <c r="AE37" s="371">
        <f t="shared" si="0"/>
        <v>0</v>
      </c>
    </row>
    <row r="38" spans="1:31" ht="12" customHeight="1" x14ac:dyDescent="0.2">
      <c r="A38" s="16" t="str">
        <f>'t1'!A29</f>
        <v>POSIZIONE ECONOMICA B2  VIGILE DEL FUOCO</v>
      </c>
      <c r="B38" s="128" t="str">
        <f>'t1'!B29</f>
        <v>032VF1</v>
      </c>
      <c r="C38" s="218"/>
      <c r="D38" s="218"/>
      <c r="E38" s="218"/>
      <c r="F38" s="218"/>
      <c r="G38" s="218"/>
      <c r="H38" s="218"/>
      <c r="I38" s="218"/>
      <c r="J38" s="218"/>
      <c r="K38" s="218"/>
      <c r="L38" s="218"/>
      <c r="M38" s="218"/>
      <c r="N38" s="218"/>
      <c r="O38" s="218"/>
      <c r="P38" s="218"/>
      <c r="Q38" s="218"/>
      <c r="R38" s="218"/>
      <c r="S38" s="218"/>
      <c r="T38" s="218"/>
      <c r="U38" s="218"/>
      <c r="V38" s="218"/>
      <c r="W38" s="218"/>
      <c r="X38" s="218"/>
      <c r="Y38" s="218">
        <v>7</v>
      </c>
      <c r="Z38" s="218"/>
      <c r="AA38" s="218"/>
      <c r="AB38" s="218"/>
      <c r="AC38" s="218"/>
      <c r="AD38" s="218"/>
      <c r="AE38" s="371">
        <f t="shared" si="0"/>
        <v>7</v>
      </c>
    </row>
    <row r="39" spans="1:31" ht="12" customHeight="1" x14ac:dyDescent="0.2">
      <c r="A39" s="16" t="str">
        <f>'t1'!A30</f>
        <v>POSIZIONE ECONOMICA A</v>
      </c>
      <c r="B39" s="128" t="str">
        <f>'t1'!B30</f>
        <v>022000</v>
      </c>
      <c r="C39" s="218"/>
      <c r="D39" s="218"/>
      <c r="E39" s="218"/>
      <c r="F39" s="218"/>
      <c r="G39" s="218"/>
      <c r="H39" s="218"/>
      <c r="I39" s="218"/>
      <c r="J39" s="218"/>
      <c r="K39" s="218"/>
      <c r="L39" s="218"/>
      <c r="M39" s="218"/>
      <c r="N39" s="218"/>
      <c r="O39" s="218"/>
      <c r="P39" s="218"/>
      <c r="Q39" s="218"/>
      <c r="R39" s="218"/>
      <c r="S39" s="218"/>
      <c r="T39" s="218"/>
      <c r="U39" s="218"/>
      <c r="V39" s="218"/>
      <c r="W39" s="218"/>
      <c r="X39" s="218"/>
      <c r="Y39" s="218"/>
      <c r="Z39" s="218"/>
      <c r="AA39" s="218"/>
      <c r="AB39" s="218"/>
      <c r="AC39" s="218"/>
      <c r="AD39" s="218"/>
      <c r="AE39" s="371">
        <f t="shared" si="0"/>
        <v>0</v>
      </c>
    </row>
    <row r="40" spans="1:31" ht="12" customHeight="1" x14ac:dyDescent="0.2">
      <c r="A40" s="16" t="str">
        <f>'t1'!A31</f>
        <v>CONTRATTISTI</v>
      </c>
      <c r="B40" s="128" t="str">
        <f>'t1'!B31</f>
        <v>000061</v>
      </c>
      <c r="C40" s="218"/>
      <c r="D40" s="218"/>
      <c r="E40" s="218"/>
      <c r="F40" s="218"/>
      <c r="G40" s="218"/>
      <c r="H40" s="218"/>
      <c r="I40" s="218"/>
      <c r="J40" s="218"/>
      <c r="K40" s="218"/>
      <c r="L40" s="218"/>
      <c r="M40" s="218"/>
      <c r="N40" s="218"/>
      <c r="O40" s="218"/>
      <c r="P40" s="218"/>
      <c r="Q40" s="218"/>
      <c r="R40" s="218"/>
      <c r="S40" s="218"/>
      <c r="T40" s="218"/>
      <c r="U40" s="218"/>
      <c r="V40" s="218"/>
      <c r="W40" s="218"/>
      <c r="X40" s="218"/>
      <c r="Y40" s="218"/>
      <c r="Z40" s="218"/>
      <c r="AA40" s="218"/>
      <c r="AB40" s="218"/>
      <c r="AC40" s="218"/>
      <c r="AD40" s="218"/>
      <c r="AE40" s="371">
        <f t="shared" si="0"/>
        <v>0</v>
      </c>
    </row>
    <row r="41" spans="1:31" ht="12" customHeight="1" x14ac:dyDescent="0.2">
      <c r="A41" s="16" t="str">
        <f>'t1'!A32</f>
        <v>SEGRETARIO GENERALE CCIAA</v>
      </c>
      <c r="B41" s="128" t="str">
        <f>'t1'!B32</f>
        <v>0D0104</v>
      </c>
      <c r="C41" s="218"/>
      <c r="D41" s="218"/>
      <c r="E41" s="218"/>
      <c r="F41" s="218"/>
      <c r="G41" s="218"/>
      <c r="H41" s="218"/>
      <c r="I41" s="218"/>
      <c r="J41" s="218"/>
      <c r="K41" s="218"/>
      <c r="L41" s="218"/>
      <c r="M41" s="218"/>
      <c r="N41" s="218"/>
      <c r="O41" s="218"/>
      <c r="P41" s="218"/>
      <c r="Q41" s="218"/>
      <c r="R41" s="218"/>
      <c r="S41" s="218"/>
      <c r="T41" s="218"/>
      <c r="U41" s="218"/>
      <c r="V41" s="218"/>
      <c r="W41" s="218"/>
      <c r="X41" s="218"/>
      <c r="Y41" s="218"/>
      <c r="Z41" s="218"/>
      <c r="AA41" s="218"/>
      <c r="AB41" s="218"/>
      <c r="AC41" s="218"/>
      <c r="AD41" s="218"/>
      <c r="AE41" s="371">
        <f t="shared" si="0"/>
        <v>0</v>
      </c>
    </row>
    <row r="42" spans="1:31" ht="12" customHeight="1" thickBot="1" x14ac:dyDescent="0.25">
      <c r="A42" s="16" t="str">
        <f>'t1'!A33</f>
        <v>COLLABORATORE A TEMPO DETERMINATO</v>
      </c>
      <c r="B42" s="128" t="str">
        <f>'t1'!B33</f>
        <v>000096</v>
      </c>
      <c r="C42" s="218"/>
      <c r="D42" s="218"/>
      <c r="E42" s="218"/>
      <c r="F42" s="218"/>
      <c r="G42" s="218"/>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371">
        <f t="shared" si="0"/>
        <v>0</v>
      </c>
    </row>
    <row r="43" spans="1:31" s="87" customFormat="1" ht="17.25" customHeight="1" thickTop="1" thickBot="1" x14ac:dyDescent="0.25">
      <c r="A43" s="192" t="s">
        <v>172</v>
      </c>
      <c r="B43" s="193"/>
      <c r="C43" s="373">
        <f t="shared" ref="C43:AE43" si="1">SUM(C15:C42)</f>
        <v>0</v>
      </c>
      <c r="D43" s="373">
        <f t="shared" si="1"/>
        <v>0</v>
      </c>
      <c r="E43" s="373">
        <f t="shared" si="1"/>
        <v>0</v>
      </c>
      <c r="F43" s="373">
        <f t="shared" si="1"/>
        <v>2</v>
      </c>
      <c r="G43" s="373">
        <f t="shared" si="1"/>
        <v>4</v>
      </c>
      <c r="H43" s="373">
        <f t="shared" si="1"/>
        <v>0</v>
      </c>
      <c r="I43" s="373">
        <f t="shared" si="1"/>
        <v>0</v>
      </c>
      <c r="J43" s="373">
        <f t="shared" si="1"/>
        <v>1</v>
      </c>
      <c r="K43" s="373">
        <f t="shared" si="1"/>
        <v>22</v>
      </c>
      <c r="L43" s="373">
        <f t="shared" si="1"/>
        <v>0</v>
      </c>
      <c r="M43" s="373">
        <f t="shared" si="1"/>
        <v>0</v>
      </c>
      <c r="N43" s="373">
        <f t="shared" si="1"/>
        <v>7</v>
      </c>
      <c r="O43" s="373">
        <f t="shared" si="1"/>
        <v>0</v>
      </c>
      <c r="P43" s="373">
        <f t="shared" si="1"/>
        <v>0</v>
      </c>
      <c r="Q43" s="373">
        <f t="shared" si="1"/>
        <v>0</v>
      </c>
      <c r="R43" s="373">
        <f t="shared" si="1"/>
        <v>2</v>
      </c>
      <c r="S43" s="373">
        <f t="shared" si="1"/>
        <v>0</v>
      </c>
      <c r="T43" s="373">
        <f t="shared" si="1"/>
        <v>1</v>
      </c>
      <c r="U43" s="373">
        <f t="shared" si="1"/>
        <v>0</v>
      </c>
      <c r="V43" s="373">
        <f t="shared" si="1"/>
        <v>0</v>
      </c>
      <c r="W43" s="373">
        <f t="shared" si="1"/>
        <v>2</v>
      </c>
      <c r="X43" s="373">
        <f t="shared" si="1"/>
        <v>0</v>
      </c>
      <c r="Y43" s="373">
        <f t="shared" si="1"/>
        <v>7</v>
      </c>
      <c r="Z43" s="373">
        <f t="shared" si="1"/>
        <v>0</v>
      </c>
      <c r="AA43" s="373">
        <f t="shared" si="1"/>
        <v>0</v>
      </c>
      <c r="AB43" s="373">
        <f t="shared" si="1"/>
        <v>0</v>
      </c>
      <c r="AC43" s="373">
        <f t="shared" si="1"/>
        <v>0</v>
      </c>
      <c r="AD43" s="373">
        <f t="shared" si="1"/>
        <v>0</v>
      </c>
      <c r="AE43" s="372">
        <f t="shared" si="1"/>
        <v>48</v>
      </c>
    </row>
    <row r="44" spans="1:31" ht="17.25" customHeight="1" x14ac:dyDescent="0.2">
      <c r="A44" s="17" t="str">
        <f>'t1'!$A$35</f>
        <v>(a) personale a tempo indeterminato al quale viene applicato un contratto di lavoro di tipo privatistico (es.:tipografico,chimico,edile,metalmeccanico,portierato, ecc.)</v>
      </c>
    </row>
    <row r="45" spans="1:31" x14ac:dyDescent="0.2">
      <c r="A45" s="17" t="str">
        <f>'t1'!$A$36</f>
        <v>(b) cfr." istruzioni generali e specifiche di comparto" e "glossario"</v>
      </c>
    </row>
    <row r="54" spans="33:33" x14ac:dyDescent="0.2">
      <c r="AG54" s="136"/>
    </row>
  </sheetData>
  <sheetProtection algorithmName="SHA-512" hashValue="ED0yD7AbMio4wEAYg0BIk+lJurfapOSLDIhhBmGvM3SGII/M74Vx27clE3TTqnaThS1mt20ahEphlXnx6uIiYg==" saltValue="txjSUk+0uVeNNy1R2OuTMw==" spinCount="100000" sheet="1" formatColumns="0" selectLockedCells="1"/>
  <mergeCells count="3">
    <mergeCell ref="C13:AD13"/>
    <mergeCell ref="C12:AD12"/>
    <mergeCell ref="A1:AD1"/>
  </mergeCells>
  <phoneticPr fontId="30" type="noConversion"/>
  <printOptions horizontalCentered="1" verticalCentered="1"/>
  <pageMargins left="0" right="0" top="0.19685039370078741" bottom="0.15748031496062992" header="0.19685039370078741" footer="0.19685039370078741"/>
  <pageSetup paperSize="9" scale="90" orientation="landscape" horizontalDpi="300" verticalDpi="4294967292"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2">
    <pageSetUpPr fitToPage="1"/>
  </sheetPr>
  <dimension ref="A1:AA38"/>
  <sheetViews>
    <sheetView showGridLines="0" workbookViewId="0">
      <pane xSplit="2" ySplit="6" topLeftCell="C7" activePane="bottomRight" state="frozen"/>
      <selection activeCell="A2" sqref="A2"/>
      <selection pane="topRight" activeCell="A2" sqref="A2"/>
      <selection pane="bottomLeft" activeCell="A2" sqref="A2"/>
      <selection pane="bottomRight" activeCell="G32" sqref="G32"/>
    </sheetView>
  </sheetViews>
  <sheetFormatPr defaultColWidth="10.6640625" defaultRowHeight="11.25" x14ac:dyDescent="0.2"/>
  <cols>
    <col min="1" max="1" width="39.6640625" style="74" customWidth="1"/>
    <col min="2" max="2" width="10.6640625" style="83" customWidth="1"/>
    <col min="3" max="14" width="11.1640625" style="74" customWidth="1"/>
    <col min="15" max="20" width="9.33203125" style="74" customWidth="1"/>
    <col min="21" max="22" width="11.1640625" style="74" customWidth="1"/>
    <col min="23" max="23" width="6.6640625" style="74" hidden="1" customWidth="1"/>
    <col min="24" max="27" width="10.6640625" style="74" customWidth="1"/>
    <col min="28" max="16384" width="10.6640625" style="74"/>
  </cols>
  <sheetData>
    <row r="1" spans="1:27" s="3" customFormat="1" ht="43.5" customHeight="1" x14ac:dyDescent="0.2">
      <c r="A1" s="1486" t="str">
        <f>'t1'!A1</f>
        <v>REGIONE VALLE D'AOSTA - anno 2024</v>
      </c>
      <c r="B1" s="1486"/>
      <c r="C1" s="1486"/>
      <c r="D1" s="1486"/>
      <c r="E1" s="1486"/>
      <c r="F1" s="1486"/>
      <c r="G1" s="1486"/>
      <c r="H1" s="1486"/>
      <c r="I1" s="1486"/>
      <c r="J1" s="1486"/>
      <c r="K1" s="1486"/>
      <c r="L1" s="1486"/>
      <c r="M1" s="1486"/>
      <c r="N1" s="1486"/>
      <c r="O1" s="1486"/>
      <c r="P1" s="1486"/>
      <c r="Q1" s="1486"/>
      <c r="R1" s="1486"/>
      <c r="S1" s="1486"/>
      <c r="T1" s="1486"/>
      <c r="U1"/>
      <c r="V1" s="270"/>
    </row>
    <row r="2" spans="1:27" s="3" customFormat="1" ht="30" customHeight="1" thickBot="1" x14ac:dyDescent="0.25">
      <c r="A2" s="269"/>
      <c r="B2" s="2"/>
      <c r="I2" s="4"/>
      <c r="N2" s="1487"/>
      <c r="O2" s="1487"/>
      <c r="P2" s="1487"/>
      <c r="Q2" s="1487"/>
      <c r="R2" s="1487"/>
      <c r="S2" s="1487"/>
      <c r="T2" s="1487"/>
      <c r="U2" s="1487"/>
      <c r="V2" s="1487"/>
    </row>
    <row r="3" spans="1:27" ht="15" customHeight="1" thickBot="1" x14ac:dyDescent="0.25">
      <c r="A3" s="75"/>
      <c r="B3" s="76"/>
      <c r="C3" s="261" t="s">
        <v>245</v>
      </c>
      <c r="D3" s="77"/>
      <c r="E3" s="77"/>
      <c r="F3" s="77"/>
      <c r="G3" s="77"/>
      <c r="H3" s="77"/>
      <c r="I3" s="77"/>
      <c r="J3" s="77"/>
      <c r="K3" s="77"/>
      <c r="L3" s="77"/>
      <c r="M3" s="77"/>
      <c r="N3" s="77"/>
      <c r="O3" s="77"/>
      <c r="P3" s="77"/>
      <c r="Q3" s="77"/>
      <c r="R3" s="77"/>
      <c r="S3" s="77"/>
      <c r="T3" s="77"/>
      <c r="U3" s="77"/>
      <c r="V3" s="78"/>
      <c r="X3"/>
      <c r="Y3"/>
      <c r="Z3"/>
      <c r="AA3"/>
    </row>
    <row r="4" spans="1:27" ht="30" customHeight="1" thickTop="1" x14ac:dyDescent="0.2">
      <c r="A4" s="241" t="s">
        <v>134</v>
      </c>
      <c r="B4" s="79" t="s">
        <v>68</v>
      </c>
      <c r="C4" s="1499" t="s">
        <v>391</v>
      </c>
      <c r="D4" s="1503"/>
      <c r="E4" s="1499" t="s">
        <v>922</v>
      </c>
      <c r="F4" s="1503"/>
      <c r="G4" s="1499" t="s">
        <v>392</v>
      </c>
      <c r="H4" s="1503"/>
      <c r="I4" s="1499" t="s">
        <v>59</v>
      </c>
      <c r="J4" s="1503"/>
      <c r="K4" s="1499" t="s">
        <v>60</v>
      </c>
      <c r="L4" s="1503"/>
      <c r="M4" s="1499" t="s">
        <v>640</v>
      </c>
      <c r="N4" s="1503"/>
      <c r="O4" s="1499" t="s">
        <v>821</v>
      </c>
      <c r="P4" s="1503"/>
      <c r="Q4" s="1499" t="s">
        <v>990</v>
      </c>
      <c r="R4" s="1503"/>
      <c r="S4" s="1499" t="s">
        <v>96</v>
      </c>
      <c r="T4" s="1503"/>
      <c r="U4" s="1499" t="s">
        <v>71</v>
      </c>
      <c r="V4" s="1500"/>
      <c r="X4"/>
      <c r="Y4"/>
      <c r="Z4"/>
      <c r="AA4"/>
    </row>
    <row r="5" spans="1:27" x14ac:dyDescent="0.2">
      <c r="A5" s="525"/>
      <c r="B5" s="79"/>
      <c r="C5" s="1501" t="s">
        <v>395</v>
      </c>
      <c r="D5" s="1502"/>
      <c r="E5" s="1501" t="s">
        <v>396</v>
      </c>
      <c r="F5" s="1502"/>
      <c r="G5" s="1501" t="s">
        <v>397</v>
      </c>
      <c r="H5" s="1502"/>
      <c r="I5" s="1501" t="s">
        <v>398</v>
      </c>
      <c r="J5" s="1502"/>
      <c r="K5" s="1501" t="s">
        <v>399</v>
      </c>
      <c r="L5" s="1502"/>
      <c r="M5" s="1501" t="s">
        <v>603</v>
      </c>
      <c r="N5" s="1502"/>
      <c r="O5" s="1501" t="s">
        <v>451</v>
      </c>
      <c r="P5" s="1502"/>
      <c r="Q5" s="1501" t="s">
        <v>989</v>
      </c>
      <c r="R5" s="1502"/>
      <c r="S5" s="1501" t="s">
        <v>400</v>
      </c>
      <c r="T5" s="1502"/>
      <c r="U5" s="1501"/>
      <c r="V5" s="1504"/>
      <c r="X5"/>
      <c r="Y5"/>
      <c r="Z5"/>
      <c r="AA5"/>
    </row>
    <row r="6" spans="1:27" ht="12" thickBot="1" x14ac:dyDescent="0.25">
      <c r="A6" s="745"/>
      <c r="B6" s="80"/>
      <c r="C6" s="527" t="s">
        <v>69</v>
      </c>
      <c r="D6" s="528" t="s">
        <v>70</v>
      </c>
      <c r="E6" s="527" t="s">
        <v>69</v>
      </c>
      <c r="F6" s="528" t="s">
        <v>70</v>
      </c>
      <c r="G6" s="527" t="s">
        <v>69</v>
      </c>
      <c r="H6" s="528" t="s">
        <v>70</v>
      </c>
      <c r="I6" s="527" t="s">
        <v>69</v>
      </c>
      <c r="J6" s="528" t="s">
        <v>70</v>
      </c>
      <c r="K6" s="527" t="s">
        <v>69</v>
      </c>
      <c r="L6" s="528" t="s">
        <v>70</v>
      </c>
      <c r="M6" s="527" t="s">
        <v>69</v>
      </c>
      <c r="N6" s="528" t="s">
        <v>70</v>
      </c>
      <c r="O6" s="527" t="s">
        <v>69</v>
      </c>
      <c r="P6" s="528" t="s">
        <v>70</v>
      </c>
      <c r="Q6" s="527" t="s">
        <v>69</v>
      </c>
      <c r="R6" s="528" t="s">
        <v>70</v>
      </c>
      <c r="S6" s="527" t="s">
        <v>69</v>
      </c>
      <c r="T6" s="528" t="s">
        <v>70</v>
      </c>
      <c r="U6" s="527" t="s">
        <v>69</v>
      </c>
      <c r="V6" s="529" t="s">
        <v>70</v>
      </c>
      <c r="X6"/>
      <c r="Y6"/>
      <c r="Z6"/>
      <c r="AA6"/>
    </row>
    <row r="7" spans="1:27" ht="12.75" customHeight="1" thickTop="1" x14ac:dyDescent="0.2">
      <c r="A7" s="129" t="str">
        <f>'t1'!A6</f>
        <v>SEGRETARIO I FASCIA</v>
      </c>
      <c r="B7" s="195" t="str">
        <f>'t1'!B6</f>
        <v>0D0102</v>
      </c>
      <c r="C7" s="198">
        <v>0</v>
      </c>
      <c r="D7" s="202">
        <v>0</v>
      </c>
      <c r="E7" s="198">
        <v>0</v>
      </c>
      <c r="F7" s="202">
        <v>0</v>
      </c>
      <c r="G7" s="198">
        <v>0</v>
      </c>
      <c r="H7" s="202">
        <v>0</v>
      </c>
      <c r="I7" s="198">
        <v>0</v>
      </c>
      <c r="J7" s="202">
        <v>0</v>
      </c>
      <c r="K7" s="435">
        <v>0</v>
      </c>
      <c r="L7" s="197">
        <v>0</v>
      </c>
      <c r="M7" s="198">
        <v>0</v>
      </c>
      <c r="N7" s="202">
        <v>0</v>
      </c>
      <c r="O7" s="203">
        <v>0</v>
      </c>
      <c r="P7" s="202">
        <v>0</v>
      </c>
      <c r="Q7" s="203">
        <v>0</v>
      </c>
      <c r="R7" s="202">
        <v>0</v>
      </c>
      <c r="S7" s="203">
        <v>0</v>
      </c>
      <c r="T7" s="202">
        <v>0</v>
      </c>
      <c r="U7" s="374">
        <f t="shared" ref="U7:V10" si="0">SUM(C7,E7,G7,I7,K7,M7,O7,Q7,S7)</f>
        <v>0</v>
      </c>
      <c r="V7" s="375">
        <f t="shared" si="0"/>
        <v>0</v>
      </c>
      <c r="W7" s="74">
        <f>'t1'!M6</f>
        <v>0</v>
      </c>
      <c r="X7"/>
      <c r="Y7"/>
      <c r="Z7"/>
      <c r="AA7"/>
    </row>
    <row r="8" spans="1:27" ht="12.75" customHeight="1" x14ac:dyDescent="0.2">
      <c r="A8" s="129" t="str">
        <f>'t1'!A7</f>
        <v>SEGRETARIO II FASCIA</v>
      </c>
      <c r="B8" s="195" t="str">
        <f>'t1'!B7</f>
        <v>0D0103</v>
      </c>
      <c r="C8" s="198">
        <v>0</v>
      </c>
      <c r="D8" s="202">
        <v>0</v>
      </c>
      <c r="E8" s="198">
        <v>0</v>
      </c>
      <c r="F8" s="202">
        <v>0</v>
      </c>
      <c r="G8" s="198">
        <v>0</v>
      </c>
      <c r="H8" s="202">
        <v>0</v>
      </c>
      <c r="I8" s="198">
        <v>0</v>
      </c>
      <c r="J8" s="202">
        <v>0</v>
      </c>
      <c r="K8" s="435">
        <v>0</v>
      </c>
      <c r="L8" s="197">
        <v>0</v>
      </c>
      <c r="M8" s="198">
        <v>0</v>
      </c>
      <c r="N8" s="202">
        <v>0</v>
      </c>
      <c r="O8" s="203">
        <v>0</v>
      </c>
      <c r="P8" s="202">
        <v>0</v>
      </c>
      <c r="Q8" s="203">
        <v>0</v>
      </c>
      <c r="R8" s="202">
        <v>0</v>
      </c>
      <c r="S8" s="203">
        <v>0</v>
      </c>
      <c r="T8" s="202">
        <v>0</v>
      </c>
      <c r="U8" s="374">
        <f t="shared" si="0"/>
        <v>0</v>
      </c>
      <c r="V8" s="375">
        <f t="shared" si="0"/>
        <v>0</v>
      </c>
      <c r="W8" s="74">
        <f>'t1'!M7</f>
        <v>0</v>
      </c>
      <c r="X8"/>
      <c r="Y8"/>
      <c r="Z8"/>
      <c r="AA8"/>
    </row>
    <row r="9" spans="1:27" ht="12.75" customHeight="1" x14ac:dyDescent="0.2">
      <c r="A9" s="129" t="str">
        <f>'t1'!A8</f>
        <v>SEGRETARIO III FASCIA</v>
      </c>
      <c r="B9" s="195" t="str">
        <f>'t1'!B8</f>
        <v>0D0485</v>
      </c>
      <c r="C9" s="198">
        <v>0</v>
      </c>
      <c r="D9" s="202">
        <v>0</v>
      </c>
      <c r="E9" s="198">
        <v>0</v>
      </c>
      <c r="F9" s="202">
        <v>0</v>
      </c>
      <c r="G9" s="198">
        <v>0</v>
      </c>
      <c r="H9" s="202">
        <v>0</v>
      </c>
      <c r="I9" s="198">
        <v>0</v>
      </c>
      <c r="J9" s="202">
        <v>0</v>
      </c>
      <c r="K9" s="435">
        <v>0</v>
      </c>
      <c r="L9" s="197">
        <v>0</v>
      </c>
      <c r="M9" s="198">
        <v>0</v>
      </c>
      <c r="N9" s="202">
        <v>0</v>
      </c>
      <c r="O9" s="203">
        <v>0</v>
      </c>
      <c r="P9" s="202">
        <v>0</v>
      </c>
      <c r="Q9" s="203">
        <v>0</v>
      </c>
      <c r="R9" s="202">
        <v>0</v>
      </c>
      <c r="S9" s="203">
        <v>0</v>
      </c>
      <c r="T9" s="202">
        <v>0</v>
      </c>
      <c r="U9" s="374">
        <f t="shared" si="0"/>
        <v>0</v>
      </c>
      <c r="V9" s="375">
        <f t="shared" si="0"/>
        <v>0</v>
      </c>
      <c r="W9" s="74">
        <f>'t1'!M8</f>
        <v>0</v>
      </c>
      <c r="X9"/>
      <c r="Y9"/>
      <c r="Z9"/>
      <c r="AA9"/>
    </row>
    <row r="10" spans="1:27" ht="12.75" customHeight="1" x14ac:dyDescent="0.2">
      <c r="A10" s="129" t="str">
        <f>'t1'!A9</f>
        <v>DIRIGENTI</v>
      </c>
      <c r="B10" s="195" t="str">
        <f>'t1'!B9</f>
        <v>0D0164</v>
      </c>
      <c r="C10" s="198">
        <v>0</v>
      </c>
      <c r="D10" s="202">
        <v>1</v>
      </c>
      <c r="E10" s="198">
        <v>1</v>
      </c>
      <c r="F10" s="202">
        <v>1</v>
      </c>
      <c r="G10" s="198">
        <v>0</v>
      </c>
      <c r="H10" s="202">
        <v>0</v>
      </c>
      <c r="I10" s="198">
        <v>0</v>
      </c>
      <c r="J10" s="202">
        <v>0</v>
      </c>
      <c r="K10" s="435">
        <v>0</v>
      </c>
      <c r="L10" s="197">
        <v>0</v>
      </c>
      <c r="M10" s="198">
        <v>0</v>
      </c>
      <c r="N10" s="202">
        <v>0</v>
      </c>
      <c r="O10" s="203">
        <v>0</v>
      </c>
      <c r="P10" s="202">
        <v>0</v>
      </c>
      <c r="Q10" s="203">
        <v>1</v>
      </c>
      <c r="R10" s="202">
        <v>5</v>
      </c>
      <c r="S10" s="203">
        <v>0</v>
      </c>
      <c r="T10" s="202">
        <v>0</v>
      </c>
      <c r="U10" s="374">
        <f t="shared" si="0"/>
        <v>2</v>
      </c>
      <c r="V10" s="375">
        <f t="shared" si="0"/>
        <v>7</v>
      </c>
      <c r="W10" s="74">
        <f>'t1'!M9</f>
        <v>112</v>
      </c>
      <c r="X10"/>
      <c r="Y10"/>
      <c r="Z10"/>
      <c r="AA10"/>
    </row>
    <row r="11" spans="1:27" ht="12.75" customHeight="1" x14ac:dyDescent="0.2">
      <c r="A11" s="129" t="str">
        <f>'t1'!A10</f>
        <v>POSIZIONE ECONOMICA D</v>
      </c>
      <c r="B11" s="195" t="str">
        <f>'t1'!B10</f>
        <v>047000</v>
      </c>
      <c r="C11" s="198">
        <v>1</v>
      </c>
      <c r="D11" s="202">
        <v>0</v>
      </c>
      <c r="E11" s="198">
        <v>1</v>
      </c>
      <c r="F11" s="202">
        <v>5</v>
      </c>
      <c r="G11" s="198">
        <v>0</v>
      </c>
      <c r="H11" s="202">
        <v>1</v>
      </c>
      <c r="I11" s="198">
        <v>0</v>
      </c>
      <c r="J11" s="202">
        <v>0</v>
      </c>
      <c r="K11" s="435">
        <v>0</v>
      </c>
      <c r="L11" s="197">
        <v>0</v>
      </c>
      <c r="M11" s="198">
        <v>0</v>
      </c>
      <c r="N11" s="202">
        <v>0</v>
      </c>
      <c r="O11" s="203">
        <v>0</v>
      </c>
      <c r="P11" s="202">
        <v>0</v>
      </c>
      <c r="Q11" s="203">
        <v>1</v>
      </c>
      <c r="R11" s="202">
        <v>3</v>
      </c>
      <c r="S11" s="203">
        <v>0</v>
      </c>
      <c r="T11" s="202">
        <v>0</v>
      </c>
      <c r="U11" s="374">
        <f t="shared" ref="U11:U34" si="1">SUM(C11,E11,G11,I11,K11,M11,O11,Q11,S11)</f>
        <v>3</v>
      </c>
      <c r="V11" s="375">
        <f t="shared" ref="V11:V34" si="2">SUM(D11,F11,H11,J11,L11,N11,P11,R11,T11)</f>
        <v>9</v>
      </c>
      <c r="W11" s="74">
        <f>'t1'!M10</f>
        <v>460</v>
      </c>
      <c r="X11"/>
      <c r="Y11"/>
      <c r="Z11"/>
      <c r="AA11"/>
    </row>
    <row r="12" spans="1:27" ht="12.75" customHeight="1" x14ac:dyDescent="0.2">
      <c r="A12" s="129" t="str">
        <f>'t1'!A11</f>
        <v>POSIZIONE ECONOMICA D - FORESTALE</v>
      </c>
      <c r="B12" s="195" t="str">
        <f>'t1'!B11</f>
        <v>047FOR</v>
      </c>
      <c r="C12" s="198">
        <v>0</v>
      </c>
      <c r="D12" s="202">
        <v>0</v>
      </c>
      <c r="E12" s="198">
        <v>0</v>
      </c>
      <c r="F12" s="202">
        <v>0</v>
      </c>
      <c r="G12" s="198">
        <v>0</v>
      </c>
      <c r="H12" s="202">
        <v>0</v>
      </c>
      <c r="I12" s="198">
        <v>0</v>
      </c>
      <c r="J12" s="202">
        <v>0</v>
      </c>
      <c r="K12" s="435">
        <v>0</v>
      </c>
      <c r="L12" s="197">
        <v>0</v>
      </c>
      <c r="M12" s="198">
        <v>0</v>
      </c>
      <c r="N12" s="202">
        <v>0</v>
      </c>
      <c r="O12" s="203">
        <v>0</v>
      </c>
      <c r="P12" s="202">
        <v>0</v>
      </c>
      <c r="Q12" s="203">
        <v>0</v>
      </c>
      <c r="R12" s="202">
        <v>0</v>
      </c>
      <c r="S12" s="203">
        <v>0</v>
      </c>
      <c r="T12" s="202">
        <v>0</v>
      </c>
      <c r="U12" s="374">
        <f t="shared" si="1"/>
        <v>0</v>
      </c>
      <c r="V12" s="375">
        <f t="shared" si="2"/>
        <v>0</v>
      </c>
      <c r="W12" s="74">
        <f>'t1'!M11</f>
        <v>0</v>
      </c>
      <c r="X12"/>
      <c r="Y12"/>
      <c r="Z12"/>
      <c r="AA12"/>
    </row>
    <row r="13" spans="1:27" ht="12.75" customHeight="1" x14ac:dyDescent="0.2">
      <c r="A13" s="129" t="str">
        <f>'t1'!A12</f>
        <v>POSIZIONE ECONOMICA D  ISPETTORE ANTINCENDI DIRETTORE-VVFF</v>
      </c>
      <c r="B13" s="195" t="str">
        <f>'t1'!B12</f>
        <v>047IS3</v>
      </c>
      <c r="C13" s="198">
        <v>0</v>
      </c>
      <c r="D13" s="202">
        <v>0</v>
      </c>
      <c r="E13" s="198">
        <v>0</v>
      </c>
      <c r="F13" s="202">
        <v>0</v>
      </c>
      <c r="G13" s="198">
        <v>0</v>
      </c>
      <c r="H13" s="202">
        <v>0</v>
      </c>
      <c r="I13" s="198">
        <v>0</v>
      </c>
      <c r="J13" s="202">
        <v>0</v>
      </c>
      <c r="K13" s="435">
        <v>0</v>
      </c>
      <c r="L13" s="197">
        <v>0</v>
      </c>
      <c r="M13" s="198">
        <v>0</v>
      </c>
      <c r="N13" s="202">
        <v>0</v>
      </c>
      <c r="O13" s="203">
        <v>0</v>
      </c>
      <c r="P13" s="202">
        <v>0</v>
      </c>
      <c r="Q13" s="203">
        <v>0</v>
      </c>
      <c r="R13" s="202">
        <v>0</v>
      </c>
      <c r="S13" s="203">
        <v>0</v>
      </c>
      <c r="T13" s="202">
        <v>0</v>
      </c>
      <c r="U13" s="374">
        <f t="shared" si="1"/>
        <v>0</v>
      </c>
      <c r="V13" s="375">
        <f t="shared" si="2"/>
        <v>0</v>
      </c>
      <c r="W13" s="74">
        <f>'t1'!M19</f>
        <v>8</v>
      </c>
      <c r="X13"/>
      <c r="Y13"/>
      <c r="Z13"/>
      <c r="AA13"/>
    </row>
    <row r="14" spans="1:27" ht="12.75" customHeight="1" x14ac:dyDescent="0.2">
      <c r="A14" s="129" t="str">
        <f>'t1'!A13</f>
        <v>POSIZIONE ECONOMICA D  ISPETTORE ANTINCENDI  VVFF</v>
      </c>
      <c r="B14" s="195" t="str">
        <f>'t1'!B13</f>
        <v>047IS2</v>
      </c>
      <c r="C14" s="198">
        <v>0</v>
      </c>
      <c r="D14" s="202">
        <v>0</v>
      </c>
      <c r="E14" s="198">
        <v>0</v>
      </c>
      <c r="F14" s="202">
        <v>0</v>
      </c>
      <c r="G14" s="198">
        <v>0</v>
      </c>
      <c r="H14" s="202">
        <v>0</v>
      </c>
      <c r="I14" s="198">
        <v>0</v>
      </c>
      <c r="J14" s="202">
        <v>0</v>
      </c>
      <c r="K14" s="435">
        <v>0</v>
      </c>
      <c r="L14" s="197">
        <v>0</v>
      </c>
      <c r="M14" s="198">
        <v>0</v>
      </c>
      <c r="N14" s="202">
        <v>0</v>
      </c>
      <c r="O14" s="203">
        <v>0</v>
      </c>
      <c r="P14" s="202">
        <v>0</v>
      </c>
      <c r="Q14" s="203">
        <v>0</v>
      </c>
      <c r="R14" s="202">
        <v>0</v>
      </c>
      <c r="S14" s="203">
        <v>0</v>
      </c>
      <c r="T14" s="202">
        <v>0</v>
      </c>
      <c r="U14" s="374">
        <f t="shared" si="1"/>
        <v>0</v>
      </c>
      <c r="V14" s="375">
        <f t="shared" si="2"/>
        <v>0</v>
      </c>
      <c r="W14" s="74">
        <f>'t1'!M20</f>
        <v>31</v>
      </c>
      <c r="X14"/>
      <c r="Y14"/>
      <c r="Z14"/>
      <c r="AA14"/>
    </row>
    <row r="15" spans="1:27" ht="12.75" customHeight="1" x14ac:dyDescent="0.2">
      <c r="A15" s="129" t="str">
        <f>'t1'!A14</f>
        <v>POSIZIONE ECONOMICA C2</v>
      </c>
      <c r="B15" s="195" t="str">
        <f>'t1'!B14</f>
        <v>042000</v>
      </c>
      <c r="C15" s="198">
        <v>0</v>
      </c>
      <c r="D15" s="202">
        <v>0</v>
      </c>
      <c r="E15" s="198">
        <v>6</v>
      </c>
      <c r="F15" s="202">
        <v>11</v>
      </c>
      <c r="G15" s="198">
        <v>0</v>
      </c>
      <c r="H15" s="202">
        <v>0</v>
      </c>
      <c r="I15" s="198">
        <v>0</v>
      </c>
      <c r="J15" s="202">
        <v>2</v>
      </c>
      <c r="K15" s="435">
        <v>0</v>
      </c>
      <c r="L15" s="197">
        <v>0</v>
      </c>
      <c r="M15" s="198">
        <v>0</v>
      </c>
      <c r="N15" s="202">
        <v>0</v>
      </c>
      <c r="O15" s="203">
        <v>0</v>
      </c>
      <c r="P15" s="202">
        <v>0</v>
      </c>
      <c r="Q15" s="203">
        <v>7</v>
      </c>
      <c r="R15" s="202">
        <v>5</v>
      </c>
      <c r="S15" s="203">
        <v>0</v>
      </c>
      <c r="T15" s="202">
        <v>0</v>
      </c>
      <c r="U15" s="374">
        <f t="shared" si="1"/>
        <v>13</v>
      </c>
      <c r="V15" s="375">
        <f t="shared" si="2"/>
        <v>18</v>
      </c>
      <c r="W15" s="74">
        <f>'t1'!M21</f>
        <v>13</v>
      </c>
      <c r="X15"/>
      <c r="Y15"/>
      <c r="Z15"/>
      <c r="AA15"/>
    </row>
    <row r="16" spans="1:27" ht="12.75" customHeight="1" x14ac:dyDescent="0.2">
      <c r="A16" s="129" t="str">
        <f>'t1'!A15</f>
        <v>POSIZIONE ECONOMICA C1</v>
      </c>
      <c r="B16" s="195" t="str">
        <f>'t1'!B15</f>
        <v>040000</v>
      </c>
      <c r="C16" s="198">
        <v>0</v>
      </c>
      <c r="D16" s="202">
        <v>0</v>
      </c>
      <c r="E16" s="198">
        <v>0</v>
      </c>
      <c r="F16" s="202">
        <v>0</v>
      </c>
      <c r="G16" s="198">
        <v>0</v>
      </c>
      <c r="H16" s="202">
        <v>0</v>
      </c>
      <c r="I16" s="198">
        <v>0</v>
      </c>
      <c r="J16" s="202">
        <v>0</v>
      </c>
      <c r="K16" s="435">
        <v>0</v>
      </c>
      <c r="L16" s="197">
        <v>0</v>
      </c>
      <c r="M16" s="198">
        <v>0</v>
      </c>
      <c r="N16" s="202">
        <v>0</v>
      </c>
      <c r="O16" s="203">
        <v>0</v>
      </c>
      <c r="P16" s="202">
        <v>0</v>
      </c>
      <c r="Q16" s="203">
        <v>0</v>
      </c>
      <c r="R16" s="202">
        <v>0</v>
      </c>
      <c r="S16" s="203">
        <v>0</v>
      </c>
      <c r="T16" s="202">
        <v>0</v>
      </c>
      <c r="U16" s="374">
        <f t="shared" si="1"/>
        <v>0</v>
      </c>
      <c r="V16" s="375">
        <f t="shared" si="2"/>
        <v>0</v>
      </c>
      <c r="W16" s="74">
        <f>'t1'!M12</f>
        <v>0</v>
      </c>
      <c r="X16"/>
      <c r="Y16"/>
      <c r="Z16"/>
      <c r="AA16"/>
    </row>
    <row r="17" spans="1:27" ht="12.75" customHeight="1" x14ac:dyDescent="0.2">
      <c r="A17" s="129" t="str">
        <f>'t1'!A16</f>
        <v>ISPETTORE FORESTALE C21F</v>
      </c>
      <c r="B17" s="195" t="str">
        <f>'t1'!B16</f>
        <v>042324</v>
      </c>
      <c r="C17" s="198">
        <v>0</v>
      </c>
      <c r="D17" s="202">
        <v>0</v>
      </c>
      <c r="E17" s="198">
        <v>1</v>
      </c>
      <c r="F17" s="202">
        <v>0</v>
      </c>
      <c r="G17" s="198">
        <v>0</v>
      </c>
      <c r="H17" s="202">
        <v>0</v>
      </c>
      <c r="I17" s="198">
        <v>0</v>
      </c>
      <c r="J17" s="202">
        <v>0</v>
      </c>
      <c r="K17" s="435">
        <v>0</v>
      </c>
      <c r="L17" s="197">
        <v>0</v>
      </c>
      <c r="M17" s="198">
        <v>0</v>
      </c>
      <c r="N17" s="202">
        <v>0</v>
      </c>
      <c r="O17" s="203">
        <v>0</v>
      </c>
      <c r="P17" s="202">
        <v>0</v>
      </c>
      <c r="Q17" s="203">
        <v>0</v>
      </c>
      <c r="R17" s="202">
        <v>0</v>
      </c>
      <c r="S17" s="203">
        <v>0</v>
      </c>
      <c r="T17" s="202">
        <v>0</v>
      </c>
      <c r="U17" s="374">
        <f t="shared" si="1"/>
        <v>1</v>
      </c>
      <c r="V17" s="375">
        <f t="shared" si="2"/>
        <v>0</v>
      </c>
      <c r="W17" s="74">
        <f>'t1'!M13</f>
        <v>5</v>
      </c>
      <c r="X17"/>
      <c r="Y17"/>
      <c r="Z17"/>
      <c r="AA17"/>
    </row>
    <row r="18" spans="1:27" ht="12.75" customHeight="1" x14ac:dyDescent="0.2">
      <c r="A18" s="129" t="str">
        <f>'t1'!A17</f>
        <v>SOVRAINTENDENTE C1F</v>
      </c>
      <c r="B18" s="195" t="str">
        <f>'t1'!B17</f>
        <v>040211</v>
      </c>
      <c r="C18" s="198">
        <v>0</v>
      </c>
      <c r="D18" s="202">
        <v>0</v>
      </c>
      <c r="E18" s="198">
        <v>1</v>
      </c>
      <c r="F18" s="202">
        <v>0</v>
      </c>
      <c r="G18" s="198">
        <v>0</v>
      </c>
      <c r="H18" s="202">
        <v>0</v>
      </c>
      <c r="I18" s="198">
        <v>0</v>
      </c>
      <c r="J18" s="202">
        <v>0</v>
      </c>
      <c r="K18" s="435">
        <v>0</v>
      </c>
      <c r="L18" s="197">
        <v>0</v>
      </c>
      <c r="M18" s="198">
        <v>0</v>
      </c>
      <c r="N18" s="202">
        <v>0</v>
      </c>
      <c r="O18" s="203">
        <v>0</v>
      </c>
      <c r="P18" s="202">
        <v>0</v>
      </c>
      <c r="Q18" s="203">
        <v>0</v>
      </c>
      <c r="R18" s="202">
        <v>0</v>
      </c>
      <c r="S18" s="203">
        <v>0</v>
      </c>
      <c r="T18" s="202">
        <v>0</v>
      </c>
      <c r="U18" s="374">
        <f t="shared" si="1"/>
        <v>1</v>
      </c>
      <c r="V18" s="375">
        <f t="shared" si="2"/>
        <v>0</v>
      </c>
      <c r="W18" s="74">
        <f>'t1'!M22</f>
        <v>5</v>
      </c>
      <c r="X18"/>
      <c r="Y18"/>
      <c r="Z18"/>
      <c r="AA18"/>
    </row>
    <row r="19" spans="1:27" ht="12.75" customHeight="1" x14ac:dyDescent="0.2">
      <c r="A19" s="129" t="str">
        <f>'t1'!A18</f>
        <v>POSIZIONE ECONOMICA C2  CAPO REPARTO  VVFF</v>
      </c>
      <c r="B19" s="195" t="str">
        <f>'t1'!B18</f>
        <v>042CR1</v>
      </c>
      <c r="C19" s="198">
        <v>1</v>
      </c>
      <c r="D19" s="202">
        <v>0</v>
      </c>
      <c r="E19" s="198">
        <v>0</v>
      </c>
      <c r="F19" s="202">
        <v>0</v>
      </c>
      <c r="G19" s="198">
        <v>0</v>
      </c>
      <c r="H19" s="202">
        <v>0</v>
      </c>
      <c r="I19" s="198">
        <v>0</v>
      </c>
      <c r="J19" s="202">
        <v>0</v>
      </c>
      <c r="K19" s="435">
        <v>0</v>
      </c>
      <c r="L19" s="197">
        <v>0</v>
      </c>
      <c r="M19" s="198">
        <v>0</v>
      </c>
      <c r="N19" s="202">
        <v>0</v>
      </c>
      <c r="O19" s="203">
        <v>0</v>
      </c>
      <c r="P19" s="202">
        <v>0</v>
      </c>
      <c r="Q19" s="203">
        <v>0</v>
      </c>
      <c r="R19" s="202">
        <v>0</v>
      </c>
      <c r="S19" s="203">
        <v>0</v>
      </c>
      <c r="T19" s="202">
        <v>0</v>
      </c>
      <c r="U19" s="374">
        <f t="shared" si="1"/>
        <v>1</v>
      </c>
      <c r="V19" s="375">
        <f t="shared" si="2"/>
        <v>0</v>
      </c>
      <c r="W19" s="74">
        <f>'t1'!M23</f>
        <v>516</v>
      </c>
      <c r="X19"/>
      <c r="Y19"/>
      <c r="Z19"/>
      <c r="AA19"/>
    </row>
    <row r="20" spans="1:27" ht="12.75" customHeight="1" x14ac:dyDescent="0.2">
      <c r="A20" s="129" t="str">
        <f>'t1'!A19</f>
        <v>POSIZIONE ECONOMICA C2  COLLAB. TECNICO ANTINCENDI  VVFF</v>
      </c>
      <c r="B20" s="195" t="str">
        <f>'t1'!B19</f>
        <v>042CA0</v>
      </c>
      <c r="C20" s="198">
        <v>0</v>
      </c>
      <c r="D20" s="202">
        <v>0</v>
      </c>
      <c r="E20" s="198">
        <v>0</v>
      </c>
      <c r="F20" s="202">
        <v>0</v>
      </c>
      <c r="G20" s="198">
        <v>0</v>
      </c>
      <c r="H20" s="202">
        <v>0</v>
      </c>
      <c r="I20" s="198">
        <v>0</v>
      </c>
      <c r="J20" s="202">
        <v>0</v>
      </c>
      <c r="K20" s="435">
        <v>0</v>
      </c>
      <c r="L20" s="197">
        <v>0</v>
      </c>
      <c r="M20" s="198">
        <v>0</v>
      </c>
      <c r="N20" s="202">
        <v>0</v>
      </c>
      <c r="O20" s="203">
        <v>0</v>
      </c>
      <c r="P20" s="202">
        <v>0</v>
      </c>
      <c r="Q20" s="203">
        <v>0</v>
      </c>
      <c r="R20" s="202">
        <v>0</v>
      </c>
      <c r="S20" s="203">
        <v>0</v>
      </c>
      <c r="T20" s="202">
        <v>0</v>
      </c>
      <c r="U20" s="374">
        <f t="shared" si="1"/>
        <v>0</v>
      </c>
      <c r="V20" s="375">
        <f t="shared" si="2"/>
        <v>0</v>
      </c>
      <c r="W20" s="74">
        <f>'t1'!M24</f>
        <v>23</v>
      </c>
      <c r="X20"/>
      <c r="Y20"/>
      <c r="Z20"/>
      <c r="AA20"/>
    </row>
    <row r="21" spans="1:27" ht="12.75" customHeight="1" x14ac:dyDescent="0.2">
      <c r="A21" s="129" t="str">
        <f>'t1'!A20</f>
        <v>POSIZIONE ECONOMICA C1  CAPO SQUADRA  VVFF</v>
      </c>
      <c r="B21" s="195" t="str">
        <f>'t1'!B20</f>
        <v>040CS1</v>
      </c>
      <c r="C21" s="198">
        <v>2</v>
      </c>
      <c r="D21" s="202">
        <v>0</v>
      </c>
      <c r="E21" s="198">
        <v>0</v>
      </c>
      <c r="F21" s="202">
        <v>0</v>
      </c>
      <c r="G21" s="198">
        <v>0</v>
      </c>
      <c r="H21" s="202">
        <v>0</v>
      </c>
      <c r="I21" s="198">
        <v>0</v>
      </c>
      <c r="J21" s="202">
        <v>0</v>
      </c>
      <c r="K21" s="435">
        <v>0</v>
      </c>
      <c r="L21" s="197">
        <v>0</v>
      </c>
      <c r="M21" s="198">
        <v>0</v>
      </c>
      <c r="N21" s="202">
        <v>0</v>
      </c>
      <c r="O21" s="203">
        <v>0</v>
      </c>
      <c r="P21" s="202">
        <v>0</v>
      </c>
      <c r="Q21" s="203">
        <v>0</v>
      </c>
      <c r="R21" s="202">
        <v>0</v>
      </c>
      <c r="S21" s="203">
        <v>0</v>
      </c>
      <c r="T21" s="202">
        <v>0</v>
      </c>
      <c r="U21" s="374">
        <f t="shared" si="1"/>
        <v>2</v>
      </c>
      <c r="V21" s="375">
        <f t="shared" si="2"/>
        <v>0</v>
      </c>
      <c r="W21" s="74">
        <f>'t1'!M25</f>
        <v>41</v>
      </c>
      <c r="X21"/>
      <c r="Y21"/>
      <c r="Z21"/>
      <c r="AA21"/>
    </row>
    <row r="22" spans="1:27" ht="12.75" customHeight="1" x14ac:dyDescent="0.2">
      <c r="A22" s="129" t="str">
        <f>'t1'!A21</f>
        <v>POSIZIONE ECONOMICA B3</v>
      </c>
      <c r="B22" s="195" t="str">
        <f>'t1'!B21</f>
        <v>034000</v>
      </c>
      <c r="C22" s="198">
        <v>0</v>
      </c>
      <c r="D22" s="202">
        <v>0</v>
      </c>
      <c r="E22" s="198">
        <v>0</v>
      </c>
      <c r="F22" s="202">
        <v>0</v>
      </c>
      <c r="G22" s="198">
        <v>0</v>
      </c>
      <c r="H22" s="202">
        <v>0</v>
      </c>
      <c r="I22" s="198">
        <v>0</v>
      </c>
      <c r="J22" s="202">
        <v>0</v>
      </c>
      <c r="K22" s="435">
        <v>0</v>
      </c>
      <c r="L22" s="197">
        <v>0</v>
      </c>
      <c r="M22" s="198">
        <v>0</v>
      </c>
      <c r="N22" s="202">
        <v>0</v>
      </c>
      <c r="O22" s="203">
        <v>0</v>
      </c>
      <c r="P22" s="202">
        <v>0</v>
      </c>
      <c r="Q22" s="203">
        <v>0</v>
      </c>
      <c r="R22" s="202">
        <v>0</v>
      </c>
      <c r="S22" s="203">
        <v>0</v>
      </c>
      <c r="T22" s="202">
        <v>0</v>
      </c>
      <c r="U22" s="374">
        <f t="shared" si="1"/>
        <v>0</v>
      </c>
      <c r="V22" s="375">
        <f t="shared" si="2"/>
        <v>0</v>
      </c>
      <c r="W22" s="74">
        <f>'t1'!M26</f>
        <v>24</v>
      </c>
      <c r="X22"/>
      <c r="Y22"/>
      <c r="Z22"/>
      <c r="AA22"/>
    </row>
    <row r="23" spans="1:27" ht="12.75" customHeight="1" x14ac:dyDescent="0.2">
      <c r="A23" s="129" t="str">
        <f>'t1'!A22</f>
        <v>POSIZIONE ECONOMICA B2S</v>
      </c>
      <c r="B23" s="195" t="str">
        <f>'t1'!B22</f>
        <v>033000</v>
      </c>
      <c r="C23" s="198">
        <v>0</v>
      </c>
      <c r="D23" s="202">
        <v>0</v>
      </c>
      <c r="E23" s="198">
        <v>0</v>
      </c>
      <c r="F23" s="202">
        <v>0</v>
      </c>
      <c r="G23" s="198">
        <v>0</v>
      </c>
      <c r="H23" s="202">
        <v>0</v>
      </c>
      <c r="I23" s="198">
        <v>0</v>
      </c>
      <c r="J23" s="202">
        <v>0</v>
      </c>
      <c r="K23" s="435">
        <v>0</v>
      </c>
      <c r="L23" s="197">
        <v>0</v>
      </c>
      <c r="M23" s="198">
        <v>0</v>
      </c>
      <c r="N23" s="202">
        <v>0</v>
      </c>
      <c r="O23" s="203">
        <v>0</v>
      </c>
      <c r="P23" s="202">
        <v>0</v>
      </c>
      <c r="Q23" s="203">
        <v>0</v>
      </c>
      <c r="R23" s="202">
        <v>0</v>
      </c>
      <c r="S23" s="203">
        <v>0</v>
      </c>
      <c r="T23" s="202">
        <v>0</v>
      </c>
      <c r="U23" s="374">
        <f t="shared" si="1"/>
        <v>0</v>
      </c>
      <c r="V23" s="375">
        <f t="shared" si="2"/>
        <v>0</v>
      </c>
      <c r="W23" s="74">
        <f>'t1'!M14</f>
        <v>766</v>
      </c>
      <c r="X23"/>
      <c r="Y23"/>
      <c r="Z23"/>
      <c r="AA23"/>
    </row>
    <row r="24" spans="1:27" ht="12.75" customHeight="1" x14ac:dyDescent="0.2">
      <c r="A24" s="129" t="str">
        <f>'t1'!A23</f>
        <v>POSIZIONE ECONOMICA B2</v>
      </c>
      <c r="B24" s="195" t="str">
        <f>'t1'!B23</f>
        <v>032000</v>
      </c>
      <c r="C24" s="198">
        <v>0</v>
      </c>
      <c r="D24" s="202">
        <v>1</v>
      </c>
      <c r="E24" s="198">
        <v>12</v>
      </c>
      <c r="F24" s="202">
        <v>17</v>
      </c>
      <c r="G24" s="198">
        <v>0</v>
      </c>
      <c r="H24" s="202">
        <v>0</v>
      </c>
      <c r="I24" s="198">
        <v>0</v>
      </c>
      <c r="J24" s="202">
        <v>0</v>
      </c>
      <c r="K24" s="435">
        <v>0</v>
      </c>
      <c r="L24" s="197">
        <v>0</v>
      </c>
      <c r="M24" s="198">
        <v>0</v>
      </c>
      <c r="N24" s="202">
        <v>0</v>
      </c>
      <c r="O24" s="203">
        <v>0</v>
      </c>
      <c r="P24" s="202">
        <v>0</v>
      </c>
      <c r="Q24" s="203">
        <v>5</v>
      </c>
      <c r="R24" s="202">
        <v>3</v>
      </c>
      <c r="S24" s="203">
        <v>0</v>
      </c>
      <c r="T24" s="202">
        <v>0</v>
      </c>
      <c r="U24" s="374">
        <f t="shared" si="1"/>
        <v>17</v>
      </c>
      <c r="V24" s="375">
        <f t="shared" si="2"/>
        <v>21</v>
      </c>
      <c r="W24" s="74">
        <f>'t1'!M15</f>
        <v>25</v>
      </c>
      <c r="X24"/>
      <c r="Y24"/>
      <c r="Z24"/>
      <c r="AA24"/>
    </row>
    <row r="25" spans="1:27" ht="12.75" customHeight="1" x14ac:dyDescent="0.2">
      <c r="A25" s="129" t="str">
        <f>'t1'!A24</f>
        <v>POSIZIONE ECONOMICA B1</v>
      </c>
      <c r="B25" s="195" t="str">
        <f>'t1'!B24</f>
        <v>030000</v>
      </c>
      <c r="C25" s="198">
        <v>0</v>
      </c>
      <c r="D25" s="202">
        <v>0</v>
      </c>
      <c r="E25" s="198">
        <v>3</v>
      </c>
      <c r="F25" s="202">
        <v>2</v>
      </c>
      <c r="G25" s="198">
        <v>0</v>
      </c>
      <c r="H25" s="202">
        <v>0</v>
      </c>
      <c r="I25" s="198">
        <v>0</v>
      </c>
      <c r="J25" s="202">
        <v>0</v>
      </c>
      <c r="K25" s="435">
        <v>0</v>
      </c>
      <c r="L25" s="197">
        <v>0</v>
      </c>
      <c r="M25" s="198">
        <v>0</v>
      </c>
      <c r="N25" s="202">
        <v>0</v>
      </c>
      <c r="O25" s="203">
        <v>0</v>
      </c>
      <c r="P25" s="202">
        <v>0</v>
      </c>
      <c r="Q25" s="203">
        <v>0</v>
      </c>
      <c r="R25" s="202">
        <v>0</v>
      </c>
      <c r="S25" s="203">
        <v>0</v>
      </c>
      <c r="T25" s="202">
        <v>0</v>
      </c>
      <c r="U25" s="374">
        <f t="shared" si="1"/>
        <v>3</v>
      </c>
      <c r="V25" s="375">
        <f t="shared" si="2"/>
        <v>2</v>
      </c>
      <c r="W25" s="74">
        <f>'t1'!M16</f>
        <v>19</v>
      </c>
      <c r="X25"/>
      <c r="Y25"/>
      <c r="Z25"/>
      <c r="AA25"/>
    </row>
    <row r="26" spans="1:27" ht="12.75" customHeight="1" x14ac:dyDescent="0.2">
      <c r="A26" s="129" t="str">
        <f>'t1'!A25</f>
        <v>POS. EC. B3-GUARDIA  FORESTALE 5 A.</v>
      </c>
      <c r="B26" s="195" t="str">
        <f>'t1'!B25</f>
        <v>034561</v>
      </c>
      <c r="C26" s="198">
        <v>0</v>
      </c>
      <c r="D26" s="202">
        <v>0</v>
      </c>
      <c r="E26" s="198">
        <v>4</v>
      </c>
      <c r="F26" s="202">
        <v>1</v>
      </c>
      <c r="G26" s="198">
        <v>0</v>
      </c>
      <c r="H26" s="202">
        <v>0</v>
      </c>
      <c r="I26" s="198">
        <v>0</v>
      </c>
      <c r="J26" s="202">
        <v>0</v>
      </c>
      <c r="K26" s="435">
        <v>0</v>
      </c>
      <c r="L26" s="197">
        <v>0</v>
      </c>
      <c r="M26" s="198">
        <v>0</v>
      </c>
      <c r="N26" s="202">
        <v>0</v>
      </c>
      <c r="O26" s="203">
        <v>0</v>
      </c>
      <c r="P26" s="202">
        <v>0</v>
      </c>
      <c r="Q26" s="203">
        <v>0</v>
      </c>
      <c r="R26" s="202">
        <v>0</v>
      </c>
      <c r="S26" s="203">
        <v>0</v>
      </c>
      <c r="T26" s="202">
        <v>0</v>
      </c>
      <c r="U26" s="374">
        <f t="shared" si="1"/>
        <v>4</v>
      </c>
      <c r="V26" s="375">
        <f t="shared" si="2"/>
        <v>1</v>
      </c>
      <c r="W26" s="74">
        <f>'t1'!M17</f>
        <v>27</v>
      </c>
      <c r="X26"/>
      <c r="Y26"/>
      <c r="Z26"/>
      <c r="AA26"/>
    </row>
    <row r="27" spans="1:27" ht="12.75" customHeight="1" x14ac:dyDescent="0.2">
      <c r="A27" s="129" t="str">
        <f>'t1'!A26</f>
        <v>POS. EC. B2-GUARDIA  FORESTALE</v>
      </c>
      <c r="B27" s="195" t="str">
        <f>'t1'!B26</f>
        <v>032561</v>
      </c>
      <c r="C27" s="198">
        <v>0</v>
      </c>
      <c r="D27" s="202">
        <v>0</v>
      </c>
      <c r="E27" s="198">
        <v>0</v>
      </c>
      <c r="F27" s="202">
        <v>0</v>
      </c>
      <c r="G27" s="198">
        <v>0</v>
      </c>
      <c r="H27" s="202">
        <v>0</v>
      </c>
      <c r="I27" s="198">
        <v>0</v>
      </c>
      <c r="J27" s="202">
        <v>0</v>
      </c>
      <c r="K27" s="435">
        <v>0</v>
      </c>
      <c r="L27" s="197">
        <v>0</v>
      </c>
      <c r="M27" s="198">
        <v>0</v>
      </c>
      <c r="N27" s="202">
        <v>0</v>
      </c>
      <c r="O27" s="203">
        <v>0</v>
      </c>
      <c r="P27" s="202">
        <v>0</v>
      </c>
      <c r="Q27" s="203">
        <v>0</v>
      </c>
      <c r="R27" s="202">
        <v>0</v>
      </c>
      <c r="S27" s="203">
        <v>0</v>
      </c>
      <c r="T27" s="202">
        <v>0</v>
      </c>
      <c r="U27" s="374">
        <f t="shared" si="1"/>
        <v>0</v>
      </c>
      <c r="V27" s="375">
        <f t="shared" si="2"/>
        <v>0</v>
      </c>
      <c r="W27" s="74">
        <f>'t1'!M27</f>
        <v>0</v>
      </c>
      <c r="X27"/>
      <c r="Y27"/>
      <c r="Z27"/>
      <c r="AA27"/>
    </row>
    <row r="28" spans="1:27" ht="12.75" customHeight="1" x14ac:dyDescent="0.2">
      <c r="A28" s="129" t="str">
        <f>'t1'!A27</f>
        <v>POSIZIONE ECONOMICA B1 - FORESTALE</v>
      </c>
      <c r="B28" s="195" t="str">
        <f>'t1'!B27</f>
        <v>030FOR</v>
      </c>
      <c r="C28" s="198">
        <v>0</v>
      </c>
      <c r="D28" s="202">
        <v>0</v>
      </c>
      <c r="E28" s="198">
        <v>0</v>
      </c>
      <c r="F28" s="202">
        <v>0</v>
      </c>
      <c r="G28" s="198">
        <v>0</v>
      </c>
      <c r="H28" s="202">
        <v>0</v>
      </c>
      <c r="I28" s="198">
        <v>0</v>
      </c>
      <c r="J28" s="202">
        <v>0</v>
      </c>
      <c r="K28" s="435">
        <v>0</v>
      </c>
      <c r="L28" s="197">
        <v>0</v>
      </c>
      <c r="M28" s="198">
        <v>0</v>
      </c>
      <c r="N28" s="202">
        <v>0</v>
      </c>
      <c r="O28" s="203">
        <v>0</v>
      </c>
      <c r="P28" s="202">
        <v>0</v>
      </c>
      <c r="Q28" s="203">
        <v>0</v>
      </c>
      <c r="R28" s="202">
        <v>0</v>
      </c>
      <c r="S28" s="203">
        <v>0</v>
      </c>
      <c r="T28" s="202">
        <v>0</v>
      </c>
      <c r="U28" s="374">
        <f t="shared" si="1"/>
        <v>0</v>
      </c>
      <c r="V28" s="375">
        <f t="shared" si="2"/>
        <v>0</v>
      </c>
      <c r="W28" s="74">
        <f>'t1'!M28</f>
        <v>99</v>
      </c>
      <c r="X28"/>
      <c r="Y28"/>
      <c r="Z28"/>
      <c r="AA28"/>
    </row>
    <row r="29" spans="1:27" ht="12.75" customHeight="1" x14ac:dyDescent="0.2">
      <c r="A29" s="129" t="str">
        <f>'t1'!A28</f>
        <v>POSIZIONE ECONOMICA B3  VIGILE DEL FUOCO &gt; 5 ANNI</v>
      </c>
      <c r="B29" s="195" t="str">
        <f>'t1'!B28</f>
        <v>034VF5</v>
      </c>
      <c r="C29" s="198">
        <v>0</v>
      </c>
      <c r="D29" s="202">
        <v>0</v>
      </c>
      <c r="E29" s="198">
        <v>0</v>
      </c>
      <c r="F29" s="202">
        <v>0</v>
      </c>
      <c r="G29" s="198">
        <v>0</v>
      </c>
      <c r="H29" s="202">
        <v>0</v>
      </c>
      <c r="I29" s="198">
        <v>0</v>
      </c>
      <c r="J29" s="202">
        <v>0</v>
      </c>
      <c r="K29" s="435">
        <v>0</v>
      </c>
      <c r="L29" s="197">
        <v>0</v>
      </c>
      <c r="M29" s="198">
        <v>0</v>
      </c>
      <c r="N29" s="202">
        <v>0</v>
      </c>
      <c r="O29" s="203">
        <v>0</v>
      </c>
      <c r="P29" s="202">
        <v>0</v>
      </c>
      <c r="Q29" s="203">
        <v>0</v>
      </c>
      <c r="R29" s="202">
        <v>0</v>
      </c>
      <c r="S29" s="203">
        <v>0</v>
      </c>
      <c r="T29" s="202">
        <v>0</v>
      </c>
      <c r="U29" s="374">
        <f t="shared" si="1"/>
        <v>0</v>
      </c>
      <c r="V29" s="375">
        <f t="shared" si="2"/>
        <v>0</v>
      </c>
      <c r="W29" s="74">
        <f>'t1'!M29</f>
        <v>19</v>
      </c>
      <c r="X29"/>
      <c r="Y29"/>
      <c r="Z29"/>
      <c r="AA29"/>
    </row>
    <row r="30" spans="1:27" ht="12.75" customHeight="1" x14ac:dyDescent="0.2">
      <c r="A30" s="129" t="str">
        <f>'t1'!A29</f>
        <v>POSIZIONE ECONOMICA B2  VIGILE DEL FUOCO</v>
      </c>
      <c r="B30" s="195" t="str">
        <f>'t1'!B29</f>
        <v>032VF1</v>
      </c>
      <c r="C30" s="198">
        <v>0</v>
      </c>
      <c r="D30" s="202">
        <v>0</v>
      </c>
      <c r="E30" s="198">
        <v>0</v>
      </c>
      <c r="F30" s="202">
        <v>0</v>
      </c>
      <c r="G30" s="198">
        <v>0</v>
      </c>
      <c r="H30" s="202">
        <v>0</v>
      </c>
      <c r="I30" s="198">
        <v>0</v>
      </c>
      <c r="J30" s="202">
        <v>0</v>
      </c>
      <c r="K30" s="435">
        <v>0</v>
      </c>
      <c r="L30" s="197">
        <v>0</v>
      </c>
      <c r="M30" s="198">
        <v>0</v>
      </c>
      <c r="N30" s="202">
        <v>0</v>
      </c>
      <c r="O30" s="203">
        <v>0</v>
      </c>
      <c r="P30" s="202">
        <v>0</v>
      </c>
      <c r="Q30" s="203">
        <v>0</v>
      </c>
      <c r="R30" s="202">
        <v>0</v>
      </c>
      <c r="S30" s="203">
        <v>0</v>
      </c>
      <c r="T30" s="202">
        <v>0</v>
      </c>
      <c r="U30" s="374">
        <f t="shared" si="1"/>
        <v>0</v>
      </c>
      <c r="V30" s="375">
        <f t="shared" si="2"/>
        <v>0</v>
      </c>
      <c r="W30" s="74">
        <f>'t1'!M30</f>
        <v>220</v>
      </c>
      <c r="X30"/>
      <c r="Y30"/>
      <c r="Z30"/>
      <c r="AA30"/>
    </row>
    <row r="31" spans="1:27" ht="12.75" customHeight="1" x14ac:dyDescent="0.2">
      <c r="A31" s="129" t="str">
        <f>'t1'!A30</f>
        <v>POSIZIONE ECONOMICA A</v>
      </c>
      <c r="B31" s="195" t="str">
        <f>'t1'!B30</f>
        <v>022000</v>
      </c>
      <c r="C31" s="198">
        <v>0</v>
      </c>
      <c r="D31" s="202">
        <v>8</v>
      </c>
      <c r="E31" s="198">
        <v>3</v>
      </c>
      <c r="F31" s="202">
        <v>5</v>
      </c>
      <c r="G31" s="198">
        <v>0</v>
      </c>
      <c r="H31" s="202">
        <v>0</v>
      </c>
      <c r="I31" s="198">
        <v>0</v>
      </c>
      <c r="J31" s="202">
        <v>1</v>
      </c>
      <c r="K31" s="435">
        <v>0</v>
      </c>
      <c r="L31" s="197">
        <v>0</v>
      </c>
      <c r="M31" s="198">
        <v>0</v>
      </c>
      <c r="N31" s="202">
        <v>0</v>
      </c>
      <c r="O31" s="203">
        <v>0</v>
      </c>
      <c r="P31" s="202">
        <v>0</v>
      </c>
      <c r="Q31" s="203">
        <v>0</v>
      </c>
      <c r="R31" s="202">
        <v>1</v>
      </c>
      <c r="S31" s="203">
        <v>0</v>
      </c>
      <c r="T31" s="202">
        <v>0</v>
      </c>
      <c r="U31" s="374">
        <f t="shared" si="1"/>
        <v>3</v>
      </c>
      <c r="V31" s="375">
        <f t="shared" si="2"/>
        <v>15</v>
      </c>
      <c r="W31" s="74">
        <f>'t1'!M31</f>
        <v>128</v>
      </c>
      <c r="X31"/>
      <c r="Y31"/>
      <c r="Z31"/>
      <c r="AA31"/>
    </row>
    <row r="32" spans="1:27" ht="12.75" customHeight="1" x14ac:dyDescent="0.2">
      <c r="A32" s="129" t="str">
        <f>'t1'!A31</f>
        <v>CONTRATTISTI</v>
      </c>
      <c r="B32" s="195" t="str">
        <f>'t1'!B31</f>
        <v>000061</v>
      </c>
      <c r="C32" s="198">
        <v>0</v>
      </c>
      <c r="D32" s="202">
        <v>0</v>
      </c>
      <c r="E32" s="198">
        <f>1+2+3</f>
        <v>6</v>
      </c>
      <c r="F32" s="202">
        <f>1+5</f>
        <v>6</v>
      </c>
      <c r="G32" s="198">
        <v>0</v>
      </c>
      <c r="H32" s="202">
        <v>0</v>
      </c>
      <c r="I32" s="198">
        <v>0</v>
      </c>
      <c r="J32" s="202">
        <v>1</v>
      </c>
      <c r="K32" s="435">
        <v>0</v>
      </c>
      <c r="L32" s="197">
        <v>0</v>
      </c>
      <c r="M32" s="198">
        <v>0</v>
      </c>
      <c r="N32" s="202">
        <v>0</v>
      </c>
      <c r="O32" s="203">
        <v>0</v>
      </c>
      <c r="P32" s="202">
        <v>0</v>
      </c>
      <c r="Q32" s="203">
        <v>1</v>
      </c>
      <c r="R32" s="202">
        <v>0</v>
      </c>
      <c r="S32" s="203">
        <v>0</v>
      </c>
      <c r="T32" s="202">
        <v>0</v>
      </c>
      <c r="U32" s="374">
        <f t="shared" si="1"/>
        <v>7</v>
      </c>
      <c r="V32" s="375">
        <f t="shared" si="2"/>
        <v>7</v>
      </c>
      <c r="W32" s="74">
        <f>'t1'!M18</f>
        <v>11</v>
      </c>
      <c r="X32"/>
      <c r="Y32"/>
      <c r="Z32"/>
      <c r="AA32"/>
    </row>
    <row r="33" spans="1:27" ht="12.75" customHeight="1" x14ac:dyDescent="0.2">
      <c r="A33" s="129" t="str">
        <f>'t1'!A32</f>
        <v>SEGRETARIO GENERALE CCIAA</v>
      </c>
      <c r="B33" s="195" t="str">
        <f>'t1'!B32</f>
        <v>0D0104</v>
      </c>
      <c r="C33" s="198">
        <v>0</v>
      </c>
      <c r="D33" s="202">
        <v>0</v>
      </c>
      <c r="E33" s="198">
        <v>0</v>
      </c>
      <c r="F33" s="202">
        <v>0</v>
      </c>
      <c r="G33" s="198">
        <v>0</v>
      </c>
      <c r="H33" s="202">
        <v>0</v>
      </c>
      <c r="I33" s="198">
        <v>0</v>
      </c>
      <c r="J33" s="202">
        <v>0</v>
      </c>
      <c r="K33" s="435">
        <v>0</v>
      </c>
      <c r="L33" s="197">
        <v>0</v>
      </c>
      <c r="M33" s="198">
        <v>0</v>
      </c>
      <c r="N33" s="202">
        <v>0</v>
      </c>
      <c r="O33" s="203">
        <v>0</v>
      </c>
      <c r="P33" s="202">
        <v>0</v>
      </c>
      <c r="Q33" s="203">
        <v>0</v>
      </c>
      <c r="R33" s="202">
        <v>0</v>
      </c>
      <c r="S33" s="203">
        <v>0</v>
      </c>
      <c r="T33" s="202">
        <v>0</v>
      </c>
      <c r="U33" s="374">
        <f t="shared" si="1"/>
        <v>0</v>
      </c>
      <c r="V33" s="375">
        <f t="shared" si="2"/>
        <v>0</v>
      </c>
      <c r="W33" s="74">
        <f>'t1'!M32</f>
        <v>0</v>
      </c>
      <c r="X33"/>
      <c r="Y33"/>
      <c r="Z33"/>
      <c r="AA33"/>
    </row>
    <row r="34" spans="1:27" ht="12.75" customHeight="1" thickBot="1" x14ac:dyDescent="0.25">
      <c r="A34" s="129" t="str">
        <f>'t1'!A33</f>
        <v>COLLABORATORE A TEMPO DETERMINATO</v>
      </c>
      <c r="B34" s="195" t="str">
        <f>'t1'!B33</f>
        <v>000096</v>
      </c>
      <c r="C34" s="198">
        <v>0</v>
      </c>
      <c r="D34" s="202">
        <v>0</v>
      </c>
      <c r="E34" s="198">
        <v>0</v>
      </c>
      <c r="F34" s="202">
        <v>0</v>
      </c>
      <c r="G34" s="198">
        <v>0</v>
      </c>
      <c r="H34" s="202">
        <v>0</v>
      </c>
      <c r="I34" s="198">
        <v>0</v>
      </c>
      <c r="J34" s="202">
        <v>0</v>
      </c>
      <c r="K34" s="435">
        <v>0</v>
      </c>
      <c r="L34" s="197">
        <v>0</v>
      </c>
      <c r="M34" s="198">
        <v>1</v>
      </c>
      <c r="N34" s="202">
        <v>0</v>
      </c>
      <c r="O34" s="203">
        <v>0</v>
      </c>
      <c r="P34" s="202">
        <v>0</v>
      </c>
      <c r="Q34" s="203">
        <v>0</v>
      </c>
      <c r="R34" s="202">
        <v>0</v>
      </c>
      <c r="S34" s="203">
        <v>0</v>
      </c>
      <c r="T34" s="202">
        <v>0</v>
      </c>
      <c r="U34" s="374">
        <f t="shared" si="1"/>
        <v>1</v>
      </c>
      <c r="V34" s="375">
        <f t="shared" si="2"/>
        <v>0</v>
      </c>
      <c r="W34" s="74">
        <f>'t1'!M33</f>
        <v>11</v>
      </c>
      <c r="X34"/>
      <c r="Y34"/>
      <c r="Z34"/>
      <c r="AA34"/>
    </row>
    <row r="35" spans="1:27" ht="13.5" customHeight="1" thickTop="1" thickBot="1" x14ac:dyDescent="0.25">
      <c r="A35" s="254" t="s">
        <v>71</v>
      </c>
      <c r="B35" s="82"/>
      <c r="C35" s="370">
        <f t="shared" ref="C35:V35" si="3">SUM(C7:C34)</f>
        <v>4</v>
      </c>
      <c r="D35" s="369">
        <f t="shared" si="3"/>
        <v>10</v>
      </c>
      <c r="E35" s="370">
        <f t="shared" si="3"/>
        <v>38</v>
      </c>
      <c r="F35" s="369">
        <f t="shared" si="3"/>
        <v>48</v>
      </c>
      <c r="G35" s="370">
        <f t="shared" si="3"/>
        <v>0</v>
      </c>
      <c r="H35" s="369">
        <f t="shared" si="3"/>
        <v>1</v>
      </c>
      <c r="I35" s="370">
        <f t="shared" si="3"/>
        <v>0</v>
      </c>
      <c r="J35" s="369">
        <f t="shared" si="3"/>
        <v>4</v>
      </c>
      <c r="K35" s="370">
        <f t="shared" si="3"/>
        <v>0</v>
      </c>
      <c r="L35" s="432">
        <f t="shared" si="3"/>
        <v>0</v>
      </c>
      <c r="M35" s="370">
        <f t="shared" si="3"/>
        <v>1</v>
      </c>
      <c r="N35" s="369">
        <f t="shared" si="3"/>
        <v>0</v>
      </c>
      <c r="O35" s="370">
        <f t="shared" si="3"/>
        <v>0</v>
      </c>
      <c r="P35" s="369">
        <f t="shared" si="3"/>
        <v>0</v>
      </c>
      <c r="Q35" s="370">
        <f t="shared" si="3"/>
        <v>15</v>
      </c>
      <c r="R35" s="369">
        <f t="shared" si="3"/>
        <v>17</v>
      </c>
      <c r="S35" s="370">
        <f t="shared" si="3"/>
        <v>0</v>
      </c>
      <c r="T35" s="369">
        <f t="shared" si="3"/>
        <v>0</v>
      </c>
      <c r="U35" s="370">
        <f t="shared" si="3"/>
        <v>58</v>
      </c>
      <c r="V35" s="440">
        <f t="shared" si="3"/>
        <v>80</v>
      </c>
      <c r="W35" s="74">
        <f>'t1'!M34</f>
        <v>0</v>
      </c>
      <c r="X35"/>
      <c r="Y35"/>
      <c r="Z35"/>
      <c r="AA35"/>
    </row>
    <row r="36" spans="1:27" ht="18.75" customHeight="1" x14ac:dyDescent="0.2">
      <c r="A36" s="74" t="s">
        <v>98</v>
      </c>
      <c r="W36" s="74" t="e">
        <f>'t1'!#REF!</f>
        <v>#REF!</v>
      </c>
    </row>
    <row r="37" spans="1:27" x14ac:dyDescent="0.2">
      <c r="A37" s="17" t="str">
        <f>'t1'!$A$35</f>
        <v>(a) personale a tempo indeterminato al quale viene applicato un contratto di lavoro di tipo privatistico (es.:tipografico,chimico,edile,metalmeccanico,portierato, ecc.)</v>
      </c>
      <c r="B37" s="2"/>
      <c r="C37" s="3"/>
      <c r="D37" s="3"/>
      <c r="E37" s="3"/>
      <c r="F37" s="3"/>
      <c r="G37" s="3"/>
      <c r="H37" s="3"/>
      <c r="I37" s="3"/>
      <c r="J37" s="3"/>
      <c r="K37" s="3"/>
      <c r="L37" s="3"/>
      <c r="M37" s="3"/>
      <c r="N37" s="3"/>
      <c r="W37" s="74" t="e">
        <f>'t1'!#REF!</f>
        <v>#REF!</v>
      </c>
    </row>
    <row r="38" spans="1:27" x14ac:dyDescent="0.2">
      <c r="A38" s="17" t="str">
        <f>'t1'!$A$36</f>
        <v>(b) cfr." istruzioni generali e specifiche di comparto" e "glossario"</v>
      </c>
      <c r="W38" s="74" t="e">
        <f>'t1'!#REF!</f>
        <v>#REF!</v>
      </c>
    </row>
  </sheetData>
  <sheetProtection password="DD41" sheet="1" formatColumns="0" selectLockedCells="1"/>
  <mergeCells count="22">
    <mergeCell ref="A1:T1"/>
    <mergeCell ref="G4:H4"/>
    <mergeCell ref="N2:V2"/>
    <mergeCell ref="S4:T4"/>
    <mergeCell ref="C5:D5"/>
    <mergeCell ref="E5:F5"/>
    <mergeCell ref="G5:H5"/>
    <mergeCell ref="Q5:R5"/>
    <mergeCell ref="K4:L4"/>
    <mergeCell ref="I4:J4"/>
    <mergeCell ref="C4:D4"/>
    <mergeCell ref="E4:F4"/>
    <mergeCell ref="M4:N4"/>
    <mergeCell ref="U5:V5"/>
    <mergeCell ref="O4:P4"/>
    <mergeCell ref="O5:P5"/>
    <mergeCell ref="U4:V4"/>
    <mergeCell ref="I5:J5"/>
    <mergeCell ref="M5:N5"/>
    <mergeCell ref="S5:T5"/>
    <mergeCell ref="K5:L5"/>
    <mergeCell ref="Q4:R4"/>
  </mergeCells>
  <phoneticPr fontId="30" type="noConversion"/>
  <printOptions horizontalCentered="1" verticalCentered="1"/>
  <pageMargins left="0" right="0" top="0.17" bottom="0.17" header="0.19" footer="0.19"/>
  <pageSetup paperSize="9" scale="74"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3">
    <pageSetUpPr fitToPage="1"/>
  </sheetPr>
  <dimension ref="A1:W39"/>
  <sheetViews>
    <sheetView showGridLines="0" workbookViewId="0">
      <pane xSplit="2" ySplit="6" topLeftCell="C7" activePane="bottomRight" state="frozen"/>
      <selection activeCell="A2" sqref="A2"/>
      <selection pane="topRight" activeCell="A2" sqref="A2"/>
      <selection pane="bottomLeft" activeCell="A2" sqref="A2"/>
      <selection pane="bottomRight" activeCell="E32" sqref="E32"/>
    </sheetView>
  </sheetViews>
  <sheetFormatPr defaultColWidth="10.6640625" defaultRowHeight="11.25" x14ac:dyDescent="0.2"/>
  <cols>
    <col min="1" max="1" width="43.5" style="63" customWidth="1"/>
    <col min="2" max="2" width="10.6640625" style="62" customWidth="1"/>
    <col min="3" max="8" width="10.6640625" style="63" customWidth="1"/>
    <col min="9" max="12" width="11.1640625" style="63" customWidth="1"/>
    <col min="13" max="20" width="10.33203125" style="63" customWidth="1"/>
    <col min="21" max="22" width="10.6640625" style="63" customWidth="1"/>
    <col min="23" max="23" width="5.6640625" style="63" hidden="1" customWidth="1"/>
    <col min="24" max="16384" width="10.6640625" style="63"/>
  </cols>
  <sheetData>
    <row r="1" spans="1:23" s="3" customFormat="1" ht="43.5" customHeight="1" x14ac:dyDescent="0.2">
      <c r="A1" s="1486" t="str">
        <f>'t1'!A1</f>
        <v>REGIONE VALLE D'AOSTA - anno 2024</v>
      </c>
      <c r="B1" s="1486"/>
      <c r="C1" s="1486"/>
      <c r="D1" s="1486"/>
      <c r="E1" s="1486"/>
      <c r="F1" s="1486"/>
      <c r="G1" s="1486"/>
      <c r="H1" s="1486"/>
      <c r="I1" s="1486"/>
      <c r="J1" s="1486"/>
      <c r="K1" s="1486"/>
      <c r="L1" s="1486"/>
      <c r="M1" s="1486"/>
      <c r="N1" s="1486"/>
      <c r="O1" s="1486"/>
      <c r="P1" s="1486"/>
      <c r="Q1" s="300"/>
      <c r="R1" s="300"/>
      <c r="S1" s="300"/>
      <c r="T1" s="300"/>
      <c r="V1" s="270"/>
      <c r="W1"/>
    </row>
    <row r="2" spans="1:23" ht="30" customHeight="1" thickBot="1" x14ac:dyDescent="0.25">
      <c r="A2" s="61"/>
      <c r="D2" s="64"/>
      <c r="E2" s="64"/>
      <c r="F2" s="64"/>
      <c r="J2" s="1487"/>
      <c r="K2" s="1487"/>
      <c r="L2" s="1487"/>
      <c r="M2" s="1487"/>
      <c r="N2" s="1487"/>
      <c r="O2" s="1487"/>
      <c r="P2" s="1487"/>
      <c r="Q2" s="1487"/>
      <c r="R2" s="1487"/>
      <c r="S2" s="1487"/>
      <c r="T2" s="1487"/>
      <c r="U2" s="1487"/>
      <c r="V2" s="1487"/>
    </row>
    <row r="3" spans="1:23" ht="15" customHeight="1" thickBot="1" x14ac:dyDescent="0.25">
      <c r="A3" s="65"/>
      <c r="B3" s="66"/>
      <c r="C3" s="67" t="s">
        <v>246</v>
      </c>
      <c r="D3" s="68"/>
      <c r="E3" s="68"/>
      <c r="F3" s="68"/>
      <c r="G3" s="68"/>
      <c r="H3" s="68"/>
      <c r="I3" s="68"/>
      <c r="J3" s="68"/>
      <c r="K3" s="68"/>
      <c r="L3" s="68"/>
      <c r="M3" s="68"/>
      <c r="N3" s="68"/>
      <c r="O3" s="68"/>
      <c r="P3" s="68"/>
      <c r="Q3" s="68"/>
      <c r="R3" s="68"/>
      <c r="S3" s="68"/>
      <c r="T3" s="68"/>
      <c r="U3" s="68"/>
      <c r="V3" s="69"/>
    </row>
    <row r="4" spans="1:23" ht="37.5" customHeight="1" thickTop="1" x14ac:dyDescent="0.2">
      <c r="A4" s="240" t="s">
        <v>139</v>
      </c>
      <c r="B4" s="70" t="s">
        <v>68</v>
      </c>
      <c r="C4" s="1507" t="s">
        <v>394</v>
      </c>
      <c r="D4" s="1489"/>
      <c r="E4" s="1507" t="s">
        <v>96</v>
      </c>
      <c r="F4" s="1489"/>
      <c r="G4" s="1507" t="s">
        <v>619</v>
      </c>
      <c r="H4" s="1508"/>
      <c r="I4" s="1509" t="s">
        <v>366</v>
      </c>
      <c r="J4" s="1510"/>
      <c r="K4" s="1507" t="s">
        <v>367</v>
      </c>
      <c r="L4" s="1508"/>
      <c r="M4" s="1507" t="s">
        <v>369</v>
      </c>
      <c r="N4" s="1508"/>
      <c r="O4" s="1509" t="s">
        <v>370</v>
      </c>
      <c r="P4" s="1511"/>
      <c r="Q4" s="1507" t="s">
        <v>991</v>
      </c>
      <c r="R4" s="1508"/>
      <c r="S4" s="1509" t="s">
        <v>992</v>
      </c>
      <c r="T4" s="1511"/>
      <c r="U4" s="1512" t="s">
        <v>71</v>
      </c>
      <c r="V4" s="1513"/>
    </row>
    <row r="5" spans="1:23" x14ac:dyDescent="0.2">
      <c r="A5" s="526"/>
      <c r="B5" s="70"/>
      <c r="C5" s="1505" t="s">
        <v>401</v>
      </c>
      <c r="D5" s="1506"/>
      <c r="E5" s="1505" t="s">
        <v>402</v>
      </c>
      <c r="F5" s="1506"/>
      <c r="G5" s="1505" t="s">
        <v>403</v>
      </c>
      <c r="H5" s="1506"/>
      <c r="I5" s="1505" t="s">
        <v>404</v>
      </c>
      <c r="J5" s="1506"/>
      <c r="K5" s="1505" t="s">
        <v>405</v>
      </c>
      <c r="L5" s="1506"/>
      <c r="M5" s="1505" t="s">
        <v>406</v>
      </c>
      <c r="N5" s="1506"/>
      <c r="O5" s="1505" t="s">
        <v>407</v>
      </c>
      <c r="P5" s="1506"/>
      <c r="Q5" s="1505" t="s">
        <v>604</v>
      </c>
      <c r="R5" s="1506"/>
      <c r="S5" s="1505" t="s">
        <v>771</v>
      </c>
      <c r="T5" s="1506"/>
      <c r="U5" s="1514"/>
      <c r="V5" s="1515"/>
    </row>
    <row r="6" spans="1:23" ht="12" thickBot="1" x14ac:dyDescent="0.25">
      <c r="A6" s="746" t="s">
        <v>635</v>
      </c>
      <c r="B6" s="71"/>
      <c r="C6" s="530" t="s">
        <v>69</v>
      </c>
      <c r="D6" s="531" t="s">
        <v>70</v>
      </c>
      <c r="E6" s="530" t="s">
        <v>69</v>
      </c>
      <c r="F6" s="531" t="s">
        <v>70</v>
      </c>
      <c r="G6" s="530" t="s">
        <v>69</v>
      </c>
      <c r="H6" s="531" t="s">
        <v>70</v>
      </c>
      <c r="I6" s="530" t="s">
        <v>69</v>
      </c>
      <c r="J6" s="531" t="s">
        <v>70</v>
      </c>
      <c r="K6" s="530" t="s">
        <v>69</v>
      </c>
      <c r="L6" s="531" t="s">
        <v>70</v>
      </c>
      <c r="M6" s="530" t="s">
        <v>69</v>
      </c>
      <c r="N6" s="531" t="s">
        <v>70</v>
      </c>
      <c r="O6" s="530" t="s">
        <v>69</v>
      </c>
      <c r="P6" s="531" t="s">
        <v>70</v>
      </c>
      <c r="Q6" s="530" t="s">
        <v>69</v>
      </c>
      <c r="R6" s="531" t="s">
        <v>70</v>
      </c>
      <c r="S6" s="530" t="s">
        <v>69</v>
      </c>
      <c r="T6" s="531" t="s">
        <v>70</v>
      </c>
      <c r="U6" s="530" t="s">
        <v>69</v>
      </c>
      <c r="V6" s="532" t="s">
        <v>70</v>
      </c>
    </row>
    <row r="7" spans="1:23" ht="12" customHeight="1" thickTop="1" x14ac:dyDescent="0.2">
      <c r="A7" s="129" t="str">
        <f>'t1'!A6</f>
        <v>SEGRETARIO I FASCIA</v>
      </c>
      <c r="B7" s="195" t="str">
        <f>'t1'!B6</f>
        <v>0D0102</v>
      </c>
      <c r="C7" s="585">
        <v>0</v>
      </c>
      <c r="D7" s="586">
        <v>0</v>
      </c>
      <c r="E7" s="585">
        <v>0</v>
      </c>
      <c r="F7" s="587">
        <v>0</v>
      </c>
      <c r="G7" s="585">
        <v>0</v>
      </c>
      <c r="H7" s="587">
        <v>0</v>
      </c>
      <c r="I7" s="585">
        <v>0</v>
      </c>
      <c r="J7" s="586">
        <v>0</v>
      </c>
      <c r="K7" s="587">
        <v>0</v>
      </c>
      <c r="L7" s="586">
        <v>0</v>
      </c>
      <c r="M7" s="587">
        <v>0</v>
      </c>
      <c r="N7" s="586">
        <v>0</v>
      </c>
      <c r="O7" s="588">
        <v>0</v>
      </c>
      <c r="P7" s="589">
        <v>0</v>
      </c>
      <c r="Q7" s="677">
        <v>0</v>
      </c>
      <c r="R7" s="678">
        <v>0</v>
      </c>
      <c r="S7" s="679">
        <v>0</v>
      </c>
      <c r="T7" s="678">
        <v>0</v>
      </c>
      <c r="U7" s="376">
        <f t="shared" ref="U7:V10" si="0">SUM(C7,E7,G7,I7,K7,M7,O7,Q7,S7)</f>
        <v>0</v>
      </c>
      <c r="V7" s="377">
        <f t="shared" si="0"/>
        <v>0</v>
      </c>
      <c r="W7" s="63">
        <f>'t1'!M6</f>
        <v>0</v>
      </c>
    </row>
    <row r="8" spans="1:23" ht="12" customHeight="1" x14ac:dyDescent="0.2">
      <c r="A8" s="129" t="str">
        <f>'t1'!A7</f>
        <v>SEGRETARIO II FASCIA</v>
      </c>
      <c r="B8" s="195" t="str">
        <f>'t1'!B7</f>
        <v>0D0103</v>
      </c>
      <c r="C8" s="585">
        <v>0</v>
      </c>
      <c r="D8" s="586">
        <v>0</v>
      </c>
      <c r="E8" s="585">
        <v>0</v>
      </c>
      <c r="F8" s="587">
        <v>0</v>
      </c>
      <c r="G8" s="585">
        <v>0</v>
      </c>
      <c r="H8" s="587">
        <v>0</v>
      </c>
      <c r="I8" s="585">
        <v>0</v>
      </c>
      <c r="J8" s="586">
        <v>0</v>
      </c>
      <c r="K8" s="587">
        <v>0</v>
      </c>
      <c r="L8" s="586">
        <v>0</v>
      </c>
      <c r="M8" s="587">
        <v>0</v>
      </c>
      <c r="N8" s="586">
        <v>0</v>
      </c>
      <c r="O8" s="588">
        <v>0</v>
      </c>
      <c r="P8" s="589">
        <v>0</v>
      </c>
      <c r="Q8" s="677">
        <v>0</v>
      </c>
      <c r="R8" s="678">
        <v>0</v>
      </c>
      <c r="S8" s="679">
        <v>0</v>
      </c>
      <c r="T8" s="678">
        <v>0</v>
      </c>
      <c r="U8" s="376">
        <f t="shared" si="0"/>
        <v>0</v>
      </c>
      <c r="V8" s="377">
        <f t="shared" si="0"/>
        <v>0</v>
      </c>
      <c r="W8" s="63">
        <f>'t1'!M7</f>
        <v>0</v>
      </c>
    </row>
    <row r="9" spans="1:23" ht="12" customHeight="1" x14ac:dyDescent="0.2">
      <c r="A9" s="129" t="str">
        <f>'t1'!A8</f>
        <v>SEGRETARIO III FASCIA</v>
      </c>
      <c r="B9" s="195" t="str">
        <f>'t1'!B8</f>
        <v>0D0485</v>
      </c>
      <c r="C9" s="585">
        <v>0</v>
      </c>
      <c r="D9" s="586">
        <v>0</v>
      </c>
      <c r="E9" s="585">
        <v>0</v>
      </c>
      <c r="F9" s="587">
        <v>0</v>
      </c>
      <c r="G9" s="585">
        <v>0</v>
      </c>
      <c r="H9" s="587">
        <v>0</v>
      </c>
      <c r="I9" s="585">
        <v>0</v>
      </c>
      <c r="J9" s="586">
        <v>0</v>
      </c>
      <c r="K9" s="587">
        <v>0</v>
      </c>
      <c r="L9" s="586">
        <v>0</v>
      </c>
      <c r="M9" s="587">
        <v>0</v>
      </c>
      <c r="N9" s="586">
        <v>0</v>
      </c>
      <c r="O9" s="588">
        <v>0</v>
      </c>
      <c r="P9" s="589">
        <v>0</v>
      </c>
      <c r="Q9" s="677">
        <v>0</v>
      </c>
      <c r="R9" s="678">
        <v>0</v>
      </c>
      <c r="S9" s="679">
        <v>0</v>
      </c>
      <c r="T9" s="678">
        <v>0</v>
      </c>
      <c r="U9" s="376">
        <f t="shared" si="0"/>
        <v>0</v>
      </c>
      <c r="V9" s="377">
        <f t="shared" si="0"/>
        <v>0</v>
      </c>
      <c r="W9" s="63">
        <f>'t1'!M8</f>
        <v>0</v>
      </c>
    </row>
    <row r="10" spans="1:23" ht="12" customHeight="1" x14ac:dyDescent="0.2">
      <c r="A10" s="129" t="str">
        <f>'t1'!A9</f>
        <v>DIRIGENTI</v>
      </c>
      <c r="B10" s="195" t="str">
        <f>'t1'!B9</f>
        <v>0D0164</v>
      </c>
      <c r="C10" s="585">
        <v>0</v>
      </c>
      <c r="D10" s="586">
        <v>1</v>
      </c>
      <c r="E10" s="585">
        <v>1</v>
      </c>
      <c r="F10" s="587">
        <v>7</v>
      </c>
      <c r="G10" s="585">
        <v>0</v>
      </c>
      <c r="H10" s="587">
        <v>0</v>
      </c>
      <c r="I10" s="585">
        <v>0</v>
      </c>
      <c r="J10" s="586">
        <v>0</v>
      </c>
      <c r="K10" s="587">
        <v>0</v>
      </c>
      <c r="L10" s="586">
        <v>0</v>
      </c>
      <c r="M10" s="587">
        <v>0</v>
      </c>
      <c r="N10" s="586">
        <v>0</v>
      </c>
      <c r="O10" s="588">
        <v>0</v>
      </c>
      <c r="P10" s="589">
        <v>0</v>
      </c>
      <c r="Q10" s="677">
        <v>0</v>
      </c>
      <c r="R10" s="678">
        <v>0</v>
      </c>
      <c r="S10" s="679">
        <v>0</v>
      </c>
      <c r="T10" s="678">
        <v>0</v>
      </c>
      <c r="U10" s="376">
        <f t="shared" si="0"/>
        <v>1</v>
      </c>
      <c r="V10" s="377">
        <f t="shared" si="0"/>
        <v>8</v>
      </c>
      <c r="W10" s="63">
        <f>'t1'!M9</f>
        <v>112</v>
      </c>
    </row>
    <row r="11" spans="1:23" ht="12" customHeight="1" x14ac:dyDescent="0.2">
      <c r="A11" s="129" t="str">
        <f>'t1'!A10</f>
        <v>POSIZIONE ECONOMICA D</v>
      </c>
      <c r="B11" s="195" t="str">
        <f>'t1'!B10</f>
        <v>047000</v>
      </c>
      <c r="C11" s="585">
        <v>5</v>
      </c>
      <c r="D11" s="586">
        <v>10</v>
      </c>
      <c r="E11" s="585">
        <v>0</v>
      </c>
      <c r="F11" s="587">
        <v>0</v>
      </c>
      <c r="G11" s="585">
        <v>0</v>
      </c>
      <c r="H11" s="587">
        <v>0</v>
      </c>
      <c r="I11" s="585">
        <v>0</v>
      </c>
      <c r="J11" s="586">
        <v>0</v>
      </c>
      <c r="K11" s="587">
        <v>0</v>
      </c>
      <c r="L11" s="586">
        <v>0</v>
      </c>
      <c r="M11" s="587">
        <v>0</v>
      </c>
      <c r="N11" s="586">
        <v>0</v>
      </c>
      <c r="O11" s="588">
        <v>0</v>
      </c>
      <c r="P11" s="589">
        <v>0</v>
      </c>
      <c r="Q11" s="677">
        <v>0</v>
      </c>
      <c r="R11" s="678">
        <v>0</v>
      </c>
      <c r="S11" s="679">
        <v>0</v>
      </c>
      <c r="T11" s="678">
        <v>0</v>
      </c>
      <c r="U11" s="376">
        <f t="shared" ref="U11:U34" si="1">SUM(C11,E11,G11,I11,K11,M11,O11,Q11,S11)</f>
        <v>5</v>
      </c>
      <c r="V11" s="377">
        <f t="shared" ref="V11:V34" si="2">SUM(D11,F11,H11,J11,L11,N11,P11,R11,T11)</f>
        <v>10</v>
      </c>
      <c r="W11" s="63">
        <f>'t1'!M10</f>
        <v>460</v>
      </c>
    </row>
    <row r="12" spans="1:23" ht="12" customHeight="1" x14ac:dyDescent="0.2">
      <c r="A12" s="129" t="str">
        <f>'t1'!A11</f>
        <v>POSIZIONE ECONOMICA D - FORESTALE</v>
      </c>
      <c r="B12" s="195" t="str">
        <f>'t1'!B11</f>
        <v>047FOR</v>
      </c>
      <c r="C12" s="585">
        <v>0</v>
      </c>
      <c r="D12" s="586">
        <v>0</v>
      </c>
      <c r="E12" s="585">
        <v>0</v>
      </c>
      <c r="F12" s="587">
        <v>0</v>
      </c>
      <c r="G12" s="585">
        <v>0</v>
      </c>
      <c r="H12" s="587">
        <v>0</v>
      </c>
      <c r="I12" s="585">
        <v>0</v>
      </c>
      <c r="J12" s="586">
        <v>0</v>
      </c>
      <c r="K12" s="587">
        <v>0</v>
      </c>
      <c r="L12" s="586">
        <v>0</v>
      </c>
      <c r="M12" s="587">
        <v>0</v>
      </c>
      <c r="N12" s="586">
        <v>0</v>
      </c>
      <c r="O12" s="588">
        <v>0</v>
      </c>
      <c r="P12" s="589">
        <v>0</v>
      </c>
      <c r="Q12" s="677">
        <v>0</v>
      </c>
      <c r="R12" s="678">
        <v>0</v>
      </c>
      <c r="S12" s="679">
        <v>0</v>
      </c>
      <c r="T12" s="678">
        <v>0</v>
      </c>
      <c r="U12" s="376">
        <f t="shared" si="1"/>
        <v>0</v>
      </c>
      <c r="V12" s="377">
        <f t="shared" si="2"/>
        <v>0</v>
      </c>
      <c r="W12" s="63">
        <f>'t1'!M11</f>
        <v>0</v>
      </c>
    </row>
    <row r="13" spans="1:23" ht="12" customHeight="1" x14ac:dyDescent="0.2">
      <c r="A13" s="129" t="str">
        <f>'t1'!A12</f>
        <v>POSIZIONE ECONOMICA D  ISPETTORE ANTINCENDI DIRETTORE-VVFF</v>
      </c>
      <c r="B13" s="195" t="str">
        <f>'t1'!B12</f>
        <v>047IS3</v>
      </c>
      <c r="C13" s="585">
        <v>0</v>
      </c>
      <c r="D13" s="586">
        <v>0</v>
      </c>
      <c r="E13" s="585">
        <v>0</v>
      </c>
      <c r="F13" s="587">
        <v>0</v>
      </c>
      <c r="G13" s="585">
        <v>0</v>
      </c>
      <c r="H13" s="587">
        <v>0</v>
      </c>
      <c r="I13" s="585">
        <v>0</v>
      </c>
      <c r="J13" s="586">
        <v>0</v>
      </c>
      <c r="K13" s="587">
        <v>0</v>
      </c>
      <c r="L13" s="586">
        <v>0</v>
      </c>
      <c r="M13" s="587">
        <v>0</v>
      </c>
      <c r="N13" s="586">
        <v>0</v>
      </c>
      <c r="O13" s="588">
        <v>0</v>
      </c>
      <c r="P13" s="589">
        <v>0</v>
      </c>
      <c r="Q13" s="677">
        <v>0</v>
      </c>
      <c r="R13" s="678">
        <v>0</v>
      </c>
      <c r="S13" s="679">
        <v>0</v>
      </c>
      <c r="T13" s="678">
        <v>0</v>
      </c>
      <c r="U13" s="376">
        <f t="shared" si="1"/>
        <v>0</v>
      </c>
      <c r="V13" s="377">
        <f t="shared" si="2"/>
        <v>0</v>
      </c>
      <c r="W13" s="63">
        <f>'t1'!M12</f>
        <v>0</v>
      </c>
    </row>
    <row r="14" spans="1:23" ht="12" customHeight="1" x14ac:dyDescent="0.2">
      <c r="A14" s="129" t="str">
        <f>'t1'!A13</f>
        <v>POSIZIONE ECONOMICA D  ISPETTORE ANTINCENDI  VVFF</v>
      </c>
      <c r="B14" s="195" t="str">
        <f>'t1'!B13</f>
        <v>047IS2</v>
      </c>
      <c r="C14" s="585">
        <v>0</v>
      </c>
      <c r="D14" s="586">
        <v>0</v>
      </c>
      <c r="E14" s="585">
        <v>0</v>
      </c>
      <c r="F14" s="587">
        <v>0</v>
      </c>
      <c r="G14" s="585">
        <v>0</v>
      </c>
      <c r="H14" s="587">
        <v>0</v>
      </c>
      <c r="I14" s="585">
        <v>0</v>
      </c>
      <c r="J14" s="586">
        <v>0</v>
      </c>
      <c r="K14" s="587">
        <v>0</v>
      </c>
      <c r="L14" s="586">
        <v>0</v>
      </c>
      <c r="M14" s="587">
        <v>0</v>
      </c>
      <c r="N14" s="586">
        <v>0</v>
      </c>
      <c r="O14" s="588">
        <v>0</v>
      </c>
      <c r="P14" s="589">
        <v>0</v>
      </c>
      <c r="Q14" s="677">
        <v>0</v>
      </c>
      <c r="R14" s="678">
        <v>0</v>
      </c>
      <c r="S14" s="679">
        <v>0</v>
      </c>
      <c r="T14" s="678">
        <v>0</v>
      </c>
      <c r="U14" s="376">
        <f t="shared" si="1"/>
        <v>0</v>
      </c>
      <c r="V14" s="377">
        <f t="shared" si="2"/>
        <v>0</v>
      </c>
      <c r="W14" s="63">
        <f>'t1'!M13</f>
        <v>5</v>
      </c>
    </row>
    <row r="15" spans="1:23" ht="12" customHeight="1" x14ac:dyDescent="0.2">
      <c r="A15" s="129" t="str">
        <f>'t1'!A14</f>
        <v>POSIZIONE ECONOMICA C2</v>
      </c>
      <c r="B15" s="195" t="str">
        <f>'t1'!B14</f>
        <v>042000</v>
      </c>
      <c r="C15" s="585">
        <v>30</v>
      </c>
      <c r="D15" s="586">
        <v>56</v>
      </c>
      <c r="E15" s="585">
        <v>0</v>
      </c>
      <c r="F15" s="587">
        <v>0</v>
      </c>
      <c r="G15" s="585">
        <v>0</v>
      </c>
      <c r="H15" s="587">
        <v>0</v>
      </c>
      <c r="I15" s="585">
        <v>0</v>
      </c>
      <c r="J15" s="586">
        <v>0</v>
      </c>
      <c r="K15" s="587">
        <v>0</v>
      </c>
      <c r="L15" s="586">
        <v>0</v>
      </c>
      <c r="M15" s="587">
        <v>0</v>
      </c>
      <c r="N15" s="586">
        <v>0</v>
      </c>
      <c r="O15" s="588">
        <v>0</v>
      </c>
      <c r="P15" s="589">
        <v>0</v>
      </c>
      <c r="Q15" s="677">
        <v>0</v>
      </c>
      <c r="R15" s="678">
        <v>0</v>
      </c>
      <c r="S15" s="679">
        <v>0</v>
      </c>
      <c r="T15" s="678">
        <v>0</v>
      </c>
      <c r="U15" s="376">
        <f t="shared" si="1"/>
        <v>30</v>
      </c>
      <c r="V15" s="377">
        <f t="shared" si="2"/>
        <v>56</v>
      </c>
      <c r="W15" s="63">
        <f>'t1'!M14</f>
        <v>766</v>
      </c>
    </row>
    <row r="16" spans="1:23" ht="12" customHeight="1" x14ac:dyDescent="0.2">
      <c r="A16" s="129" t="str">
        <f>'t1'!A15</f>
        <v>POSIZIONE ECONOMICA C1</v>
      </c>
      <c r="B16" s="195" t="str">
        <f>'t1'!B15</f>
        <v>040000</v>
      </c>
      <c r="C16" s="585">
        <v>0</v>
      </c>
      <c r="D16" s="586">
        <v>0</v>
      </c>
      <c r="E16" s="585">
        <v>0</v>
      </c>
      <c r="F16" s="587">
        <v>0</v>
      </c>
      <c r="G16" s="585">
        <v>0</v>
      </c>
      <c r="H16" s="587">
        <v>0</v>
      </c>
      <c r="I16" s="585">
        <v>0</v>
      </c>
      <c r="J16" s="586">
        <v>0</v>
      </c>
      <c r="K16" s="587">
        <v>0</v>
      </c>
      <c r="L16" s="586">
        <v>0</v>
      </c>
      <c r="M16" s="587">
        <v>0</v>
      </c>
      <c r="N16" s="586">
        <v>0</v>
      </c>
      <c r="O16" s="588">
        <v>0</v>
      </c>
      <c r="P16" s="589">
        <v>0</v>
      </c>
      <c r="Q16" s="677">
        <v>0</v>
      </c>
      <c r="R16" s="678">
        <v>0</v>
      </c>
      <c r="S16" s="679">
        <v>0</v>
      </c>
      <c r="T16" s="678">
        <v>0</v>
      </c>
      <c r="U16" s="376">
        <f t="shared" si="1"/>
        <v>0</v>
      </c>
      <c r="V16" s="377">
        <f t="shared" si="2"/>
        <v>0</v>
      </c>
      <c r="W16" s="63">
        <f>'t1'!M15</f>
        <v>25</v>
      </c>
    </row>
    <row r="17" spans="1:23" ht="12" customHeight="1" x14ac:dyDescent="0.2">
      <c r="A17" s="129" t="str">
        <f>'t1'!A16</f>
        <v>ISPETTORE FORESTALE C21F</v>
      </c>
      <c r="B17" s="195" t="str">
        <f>'t1'!B16</f>
        <v>042324</v>
      </c>
      <c r="C17" s="585">
        <v>0</v>
      </c>
      <c r="D17" s="586">
        <v>0</v>
      </c>
      <c r="E17" s="585">
        <v>0</v>
      </c>
      <c r="F17" s="587">
        <v>0</v>
      </c>
      <c r="G17" s="585">
        <v>0</v>
      </c>
      <c r="H17" s="587">
        <v>0</v>
      </c>
      <c r="I17" s="585">
        <v>0</v>
      </c>
      <c r="J17" s="586">
        <v>0</v>
      </c>
      <c r="K17" s="587">
        <v>0</v>
      </c>
      <c r="L17" s="586">
        <v>0</v>
      </c>
      <c r="M17" s="587">
        <v>0</v>
      </c>
      <c r="N17" s="586">
        <v>0</v>
      </c>
      <c r="O17" s="588">
        <v>0</v>
      </c>
      <c r="P17" s="589">
        <v>0</v>
      </c>
      <c r="Q17" s="677">
        <v>0</v>
      </c>
      <c r="R17" s="678">
        <v>0</v>
      </c>
      <c r="S17" s="679">
        <v>0</v>
      </c>
      <c r="T17" s="678">
        <v>0</v>
      </c>
      <c r="U17" s="376">
        <f t="shared" si="1"/>
        <v>0</v>
      </c>
      <c r="V17" s="377">
        <f t="shared" si="2"/>
        <v>0</v>
      </c>
      <c r="W17" s="63">
        <f>'t1'!M16</f>
        <v>19</v>
      </c>
    </row>
    <row r="18" spans="1:23" ht="12" customHeight="1" x14ac:dyDescent="0.2">
      <c r="A18" s="129" t="str">
        <f>'t1'!A17</f>
        <v>SOVRAINTENDENTE C1F</v>
      </c>
      <c r="B18" s="195" t="str">
        <f>'t1'!B17</f>
        <v>040211</v>
      </c>
      <c r="C18" s="585">
        <v>0</v>
      </c>
      <c r="D18" s="586">
        <v>0</v>
      </c>
      <c r="E18" s="585">
        <v>0</v>
      </c>
      <c r="F18" s="587">
        <v>0</v>
      </c>
      <c r="G18" s="585">
        <v>0</v>
      </c>
      <c r="H18" s="587">
        <v>0</v>
      </c>
      <c r="I18" s="585">
        <v>0</v>
      </c>
      <c r="J18" s="586">
        <v>0</v>
      </c>
      <c r="K18" s="587">
        <v>0</v>
      </c>
      <c r="L18" s="586">
        <v>0</v>
      </c>
      <c r="M18" s="587">
        <v>0</v>
      </c>
      <c r="N18" s="586">
        <v>0</v>
      </c>
      <c r="O18" s="588">
        <v>0</v>
      </c>
      <c r="P18" s="589">
        <v>0</v>
      </c>
      <c r="Q18" s="677">
        <v>0</v>
      </c>
      <c r="R18" s="678">
        <v>0</v>
      </c>
      <c r="S18" s="679">
        <v>0</v>
      </c>
      <c r="T18" s="678">
        <v>0</v>
      </c>
      <c r="U18" s="376">
        <f t="shared" si="1"/>
        <v>0</v>
      </c>
      <c r="V18" s="377">
        <f t="shared" si="2"/>
        <v>0</v>
      </c>
      <c r="W18" s="63">
        <f>'t1'!M17</f>
        <v>27</v>
      </c>
    </row>
    <row r="19" spans="1:23" ht="12" customHeight="1" x14ac:dyDescent="0.2">
      <c r="A19" s="129" t="str">
        <f>'t1'!A18</f>
        <v>POSIZIONE ECONOMICA C2  CAPO REPARTO  VVFF</v>
      </c>
      <c r="B19" s="195" t="str">
        <f>'t1'!B18</f>
        <v>042CR1</v>
      </c>
      <c r="C19" s="590">
        <v>0</v>
      </c>
      <c r="D19" s="586">
        <v>0</v>
      </c>
      <c r="E19" s="585">
        <v>0</v>
      </c>
      <c r="F19" s="587">
        <v>0</v>
      </c>
      <c r="G19" s="585">
        <v>0</v>
      </c>
      <c r="H19" s="587">
        <v>0</v>
      </c>
      <c r="I19" s="585">
        <v>0</v>
      </c>
      <c r="J19" s="586">
        <v>0</v>
      </c>
      <c r="K19" s="587">
        <v>0</v>
      </c>
      <c r="L19" s="586">
        <v>0</v>
      </c>
      <c r="M19" s="587">
        <v>0</v>
      </c>
      <c r="N19" s="586">
        <v>0</v>
      </c>
      <c r="O19" s="588">
        <v>0</v>
      </c>
      <c r="P19" s="589">
        <v>0</v>
      </c>
      <c r="Q19" s="677">
        <v>0</v>
      </c>
      <c r="R19" s="678">
        <v>0</v>
      </c>
      <c r="S19" s="679">
        <v>0</v>
      </c>
      <c r="T19" s="678">
        <v>0</v>
      </c>
      <c r="U19" s="376">
        <f t="shared" si="1"/>
        <v>0</v>
      </c>
      <c r="V19" s="377">
        <f t="shared" si="2"/>
        <v>0</v>
      </c>
      <c r="W19" s="63">
        <f>'t1'!M18</f>
        <v>11</v>
      </c>
    </row>
    <row r="20" spans="1:23" ht="12" customHeight="1" x14ac:dyDescent="0.2">
      <c r="A20" s="129" t="str">
        <f>'t1'!A19</f>
        <v>POSIZIONE ECONOMICA C2  COLLAB. TECNICO ANTINCENDI  VVFF</v>
      </c>
      <c r="B20" s="195" t="str">
        <f>'t1'!B19</f>
        <v>042CA0</v>
      </c>
      <c r="C20" s="590">
        <v>0</v>
      </c>
      <c r="D20" s="591">
        <v>0</v>
      </c>
      <c r="E20" s="592">
        <v>0</v>
      </c>
      <c r="F20" s="593">
        <v>0</v>
      </c>
      <c r="G20" s="592">
        <v>0</v>
      </c>
      <c r="H20" s="593">
        <v>0</v>
      </c>
      <c r="I20" s="590">
        <v>0</v>
      </c>
      <c r="J20" s="591">
        <v>0</v>
      </c>
      <c r="K20" s="593">
        <v>0</v>
      </c>
      <c r="L20" s="591">
        <v>0</v>
      </c>
      <c r="M20" s="593">
        <v>0</v>
      </c>
      <c r="N20" s="591">
        <v>0</v>
      </c>
      <c r="O20" s="594">
        <v>0</v>
      </c>
      <c r="P20" s="593">
        <v>0</v>
      </c>
      <c r="Q20" s="680">
        <v>0</v>
      </c>
      <c r="R20" s="496">
        <v>0</v>
      </c>
      <c r="S20" s="679">
        <v>0</v>
      </c>
      <c r="T20" s="678">
        <v>0</v>
      </c>
      <c r="U20" s="376">
        <f t="shared" si="1"/>
        <v>0</v>
      </c>
      <c r="V20" s="377">
        <f t="shared" si="2"/>
        <v>0</v>
      </c>
      <c r="W20" s="63">
        <f>'t1'!M19</f>
        <v>8</v>
      </c>
    </row>
    <row r="21" spans="1:23" ht="12" customHeight="1" x14ac:dyDescent="0.2">
      <c r="A21" s="129" t="str">
        <f>'t1'!A20</f>
        <v>POSIZIONE ECONOMICA C1  CAPO SQUADRA  VVFF</v>
      </c>
      <c r="B21" s="195" t="str">
        <f>'t1'!B20</f>
        <v>040CS1</v>
      </c>
      <c r="C21" s="590">
        <v>0</v>
      </c>
      <c r="D21" s="591">
        <v>0</v>
      </c>
      <c r="E21" s="592">
        <v>0</v>
      </c>
      <c r="F21" s="593">
        <v>0</v>
      </c>
      <c r="G21" s="592">
        <v>0</v>
      </c>
      <c r="H21" s="593">
        <v>0</v>
      </c>
      <c r="I21" s="590">
        <v>0</v>
      </c>
      <c r="J21" s="591">
        <v>0</v>
      </c>
      <c r="K21" s="593">
        <v>0</v>
      </c>
      <c r="L21" s="591">
        <v>0</v>
      </c>
      <c r="M21" s="593">
        <v>0</v>
      </c>
      <c r="N21" s="591">
        <v>0</v>
      </c>
      <c r="O21" s="594">
        <v>0</v>
      </c>
      <c r="P21" s="593">
        <v>0</v>
      </c>
      <c r="Q21" s="680">
        <v>0</v>
      </c>
      <c r="R21" s="496">
        <v>0</v>
      </c>
      <c r="S21" s="679">
        <v>0</v>
      </c>
      <c r="T21" s="678">
        <v>0</v>
      </c>
      <c r="U21" s="376">
        <f t="shared" si="1"/>
        <v>0</v>
      </c>
      <c r="V21" s="377">
        <f t="shared" si="2"/>
        <v>0</v>
      </c>
      <c r="W21" s="63">
        <f>'t1'!M20</f>
        <v>31</v>
      </c>
    </row>
    <row r="22" spans="1:23" ht="12" customHeight="1" x14ac:dyDescent="0.2">
      <c r="A22" s="129" t="str">
        <f>'t1'!A21</f>
        <v>POSIZIONE ECONOMICA B3</v>
      </c>
      <c r="B22" s="195" t="str">
        <f>'t1'!B21</f>
        <v>034000</v>
      </c>
      <c r="C22" s="590">
        <v>1</v>
      </c>
      <c r="D22" s="591">
        <v>0</v>
      </c>
      <c r="E22" s="592">
        <v>0</v>
      </c>
      <c r="F22" s="593">
        <v>0</v>
      </c>
      <c r="G22" s="592">
        <v>0</v>
      </c>
      <c r="H22" s="593">
        <v>0</v>
      </c>
      <c r="I22" s="590">
        <v>0</v>
      </c>
      <c r="J22" s="591">
        <v>0</v>
      </c>
      <c r="K22" s="593">
        <v>0</v>
      </c>
      <c r="L22" s="591">
        <v>0</v>
      </c>
      <c r="M22" s="593">
        <v>0</v>
      </c>
      <c r="N22" s="591">
        <v>0</v>
      </c>
      <c r="O22" s="594">
        <v>0</v>
      </c>
      <c r="P22" s="593">
        <v>0</v>
      </c>
      <c r="Q22" s="680">
        <v>0</v>
      </c>
      <c r="R22" s="496">
        <v>0</v>
      </c>
      <c r="S22" s="679">
        <v>0</v>
      </c>
      <c r="T22" s="678">
        <v>0</v>
      </c>
      <c r="U22" s="376">
        <f t="shared" si="1"/>
        <v>1</v>
      </c>
      <c r="V22" s="377">
        <f t="shared" si="2"/>
        <v>0</v>
      </c>
      <c r="W22" s="63">
        <f>'t1'!M21</f>
        <v>13</v>
      </c>
    </row>
    <row r="23" spans="1:23" ht="12" customHeight="1" x14ac:dyDescent="0.2">
      <c r="A23" s="129" t="str">
        <f>'t1'!A22</f>
        <v>POSIZIONE ECONOMICA B2S</v>
      </c>
      <c r="B23" s="195" t="str">
        <f>'t1'!B22</f>
        <v>033000</v>
      </c>
      <c r="C23" s="590">
        <v>0</v>
      </c>
      <c r="D23" s="591">
        <v>0</v>
      </c>
      <c r="E23" s="592">
        <v>0</v>
      </c>
      <c r="F23" s="593">
        <v>0</v>
      </c>
      <c r="G23" s="592">
        <v>0</v>
      </c>
      <c r="H23" s="593">
        <v>0</v>
      </c>
      <c r="I23" s="590">
        <v>0</v>
      </c>
      <c r="J23" s="591">
        <v>0</v>
      </c>
      <c r="K23" s="593">
        <v>0</v>
      </c>
      <c r="L23" s="591">
        <v>0</v>
      </c>
      <c r="M23" s="593">
        <v>0</v>
      </c>
      <c r="N23" s="591">
        <v>0</v>
      </c>
      <c r="O23" s="594">
        <v>0</v>
      </c>
      <c r="P23" s="593">
        <v>0</v>
      </c>
      <c r="Q23" s="680">
        <v>0</v>
      </c>
      <c r="R23" s="496">
        <v>0</v>
      </c>
      <c r="S23" s="679">
        <v>0</v>
      </c>
      <c r="T23" s="678">
        <v>0</v>
      </c>
      <c r="U23" s="376">
        <f t="shared" si="1"/>
        <v>0</v>
      </c>
      <c r="V23" s="377">
        <f t="shared" si="2"/>
        <v>0</v>
      </c>
      <c r="W23" s="63">
        <f>'t1'!M22</f>
        <v>5</v>
      </c>
    </row>
    <row r="24" spans="1:23" ht="12" customHeight="1" x14ac:dyDescent="0.2">
      <c r="A24" s="129" t="str">
        <f>'t1'!A23</f>
        <v>POSIZIONE ECONOMICA B2</v>
      </c>
      <c r="B24" s="195" t="str">
        <f>'t1'!B23</f>
        <v>032000</v>
      </c>
      <c r="C24" s="590">
        <v>3</v>
      </c>
      <c r="D24" s="591">
        <v>0</v>
      </c>
      <c r="E24" s="592">
        <v>0</v>
      </c>
      <c r="F24" s="593">
        <v>0</v>
      </c>
      <c r="G24" s="592">
        <v>0</v>
      </c>
      <c r="H24" s="593">
        <v>0</v>
      </c>
      <c r="I24" s="590">
        <v>0</v>
      </c>
      <c r="J24" s="591">
        <v>0</v>
      </c>
      <c r="K24" s="593">
        <v>0</v>
      </c>
      <c r="L24" s="591">
        <v>0</v>
      </c>
      <c r="M24" s="593">
        <v>0</v>
      </c>
      <c r="N24" s="591">
        <v>0</v>
      </c>
      <c r="O24" s="594">
        <v>0</v>
      </c>
      <c r="P24" s="593">
        <v>0</v>
      </c>
      <c r="Q24" s="680">
        <v>0</v>
      </c>
      <c r="R24" s="496">
        <v>0</v>
      </c>
      <c r="S24" s="679">
        <v>0</v>
      </c>
      <c r="T24" s="678">
        <v>0</v>
      </c>
      <c r="U24" s="376">
        <f t="shared" si="1"/>
        <v>3</v>
      </c>
      <c r="V24" s="377">
        <f t="shared" si="2"/>
        <v>0</v>
      </c>
      <c r="W24" s="63">
        <f>'t1'!M23</f>
        <v>516</v>
      </c>
    </row>
    <row r="25" spans="1:23" ht="12" customHeight="1" x14ac:dyDescent="0.2">
      <c r="A25" s="129" t="str">
        <f>'t1'!A24</f>
        <v>POSIZIONE ECONOMICA B1</v>
      </c>
      <c r="B25" s="195" t="str">
        <f>'t1'!B24</f>
        <v>030000</v>
      </c>
      <c r="C25" s="590">
        <v>0</v>
      </c>
      <c r="D25" s="591">
        <v>0</v>
      </c>
      <c r="E25" s="592">
        <v>0</v>
      </c>
      <c r="F25" s="593">
        <v>0</v>
      </c>
      <c r="G25" s="592">
        <v>0</v>
      </c>
      <c r="H25" s="593">
        <v>0</v>
      </c>
      <c r="I25" s="590">
        <v>0</v>
      </c>
      <c r="J25" s="591">
        <v>0</v>
      </c>
      <c r="K25" s="593">
        <v>0</v>
      </c>
      <c r="L25" s="591">
        <v>0</v>
      </c>
      <c r="M25" s="593">
        <v>0</v>
      </c>
      <c r="N25" s="591">
        <v>0</v>
      </c>
      <c r="O25" s="594">
        <v>0</v>
      </c>
      <c r="P25" s="593">
        <v>0</v>
      </c>
      <c r="Q25" s="680">
        <v>0</v>
      </c>
      <c r="R25" s="496">
        <v>0</v>
      </c>
      <c r="S25" s="679">
        <v>0</v>
      </c>
      <c r="T25" s="678">
        <v>0</v>
      </c>
      <c r="U25" s="376">
        <f t="shared" si="1"/>
        <v>0</v>
      </c>
      <c r="V25" s="377">
        <f t="shared" si="2"/>
        <v>0</v>
      </c>
      <c r="W25" s="63">
        <f>'t1'!M24</f>
        <v>23</v>
      </c>
    </row>
    <row r="26" spans="1:23" ht="12" customHeight="1" x14ac:dyDescent="0.2">
      <c r="A26" s="129" t="str">
        <f>'t1'!A25</f>
        <v>POS. EC. B3-GUARDIA  FORESTALE 5 A.</v>
      </c>
      <c r="B26" s="195" t="str">
        <f>'t1'!B25</f>
        <v>034561</v>
      </c>
      <c r="C26" s="590">
        <v>0</v>
      </c>
      <c r="D26" s="591">
        <v>0</v>
      </c>
      <c r="E26" s="592">
        <v>0</v>
      </c>
      <c r="F26" s="593">
        <v>0</v>
      </c>
      <c r="G26" s="592">
        <v>0</v>
      </c>
      <c r="H26" s="593">
        <v>0</v>
      </c>
      <c r="I26" s="590">
        <v>0</v>
      </c>
      <c r="J26" s="591">
        <v>0</v>
      </c>
      <c r="K26" s="593">
        <v>0</v>
      </c>
      <c r="L26" s="591">
        <v>0</v>
      </c>
      <c r="M26" s="593">
        <v>0</v>
      </c>
      <c r="N26" s="591">
        <v>0</v>
      </c>
      <c r="O26" s="594">
        <v>0</v>
      </c>
      <c r="P26" s="593">
        <v>0</v>
      </c>
      <c r="Q26" s="680">
        <v>0</v>
      </c>
      <c r="R26" s="496">
        <v>0</v>
      </c>
      <c r="S26" s="679">
        <v>0</v>
      </c>
      <c r="T26" s="678">
        <v>0</v>
      </c>
      <c r="U26" s="376">
        <f t="shared" si="1"/>
        <v>0</v>
      </c>
      <c r="V26" s="377">
        <f t="shared" si="2"/>
        <v>0</v>
      </c>
      <c r="W26" s="63">
        <f>'t1'!M25</f>
        <v>41</v>
      </c>
    </row>
    <row r="27" spans="1:23" ht="12" customHeight="1" x14ac:dyDescent="0.2">
      <c r="A27" s="129" t="str">
        <f>'t1'!A26</f>
        <v>POS. EC. B2-GUARDIA  FORESTALE</v>
      </c>
      <c r="B27" s="195" t="str">
        <f>'t1'!B26</f>
        <v>032561</v>
      </c>
      <c r="C27" s="590">
        <v>11</v>
      </c>
      <c r="D27" s="591">
        <v>6</v>
      </c>
      <c r="E27" s="592">
        <v>0</v>
      </c>
      <c r="F27" s="593">
        <v>0</v>
      </c>
      <c r="G27" s="592">
        <v>0</v>
      </c>
      <c r="H27" s="593">
        <v>0</v>
      </c>
      <c r="I27" s="590">
        <v>0</v>
      </c>
      <c r="J27" s="591">
        <v>0</v>
      </c>
      <c r="K27" s="593">
        <v>0</v>
      </c>
      <c r="L27" s="591">
        <v>0</v>
      </c>
      <c r="M27" s="593">
        <v>0</v>
      </c>
      <c r="N27" s="591">
        <v>0</v>
      </c>
      <c r="O27" s="594">
        <v>0</v>
      </c>
      <c r="P27" s="593">
        <v>0</v>
      </c>
      <c r="Q27" s="680">
        <v>0</v>
      </c>
      <c r="R27" s="496">
        <v>0</v>
      </c>
      <c r="S27" s="679">
        <v>0</v>
      </c>
      <c r="T27" s="678">
        <v>0</v>
      </c>
      <c r="U27" s="376">
        <f t="shared" si="1"/>
        <v>11</v>
      </c>
      <c r="V27" s="377">
        <f t="shared" si="2"/>
        <v>6</v>
      </c>
      <c r="W27" s="63">
        <f>'t1'!M26</f>
        <v>24</v>
      </c>
    </row>
    <row r="28" spans="1:23" ht="12" customHeight="1" x14ac:dyDescent="0.2">
      <c r="A28" s="129" t="str">
        <f>'t1'!A27</f>
        <v>POSIZIONE ECONOMICA B1 - FORESTALE</v>
      </c>
      <c r="B28" s="195" t="str">
        <f>'t1'!B27</f>
        <v>030FOR</v>
      </c>
      <c r="C28" s="590">
        <v>0</v>
      </c>
      <c r="D28" s="591">
        <v>0</v>
      </c>
      <c r="E28" s="592">
        <v>0</v>
      </c>
      <c r="F28" s="593">
        <v>0</v>
      </c>
      <c r="G28" s="592">
        <v>0</v>
      </c>
      <c r="H28" s="593">
        <v>0</v>
      </c>
      <c r="I28" s="590">
        <v>0</v>
      </c>
      <c r="J28" s="591">
        <v>0</v>
      </c>
      <c r="K28" s="593">
        <v>0</v>
      </c>
      <c r="L28" s="591">
        <v>0</v>
      </c>
      <c r="M28" s="593">
        <v>0</v>
      </c>
      <c r="N28" s="591">
        <v>0</v>
      </c>
      <c r="O28" s="594">
        <v>0</v>
      </c>
      <c r="P28" s="593">
        <v>0</v>
      </c>
      <c r="Q28" s="680">
        <v>0</v>
      </c>
      <c r="R28" s="496">
        <v>0</v>
      </c>
      <c r="S28" s="679">
        <v>0</v>
      </c>
      <c r="T28" s="678">
        <v>0</v>
      </c>
      <c r="U28" s="376">
        <f t="shared" si="1"/>
        <v>0</v>
      </c>
      <c r="V28" s="377">
        <f t="shared" si="2"/>
        <v>0</v>
      </c>
      <c r="W28" s="63">
        <f>'t1'!M27</f>
        <v>0</v>
      </c>
    </row>
    <row r="29" spans="1:23" ht="12" customHeight="1" x14ac:dyDescent="0.2">
      <c r="A29" s="129" t="str">
        <f>'t1'!A28</f>
        <v>POSIZIONE ECONOMICA B3  VIGILE DEL FUOCO &gt; 5 ANNI</v>
      </c>
      <c r="B29" s="195" t="str">
        <f>'t1'!B28</f>
        <v>034VF5</v>
      </c>
      <c r="C29" s="590">
        <v>0</v>
      </c>
      <c r="D29" s="591">
        <v>0</v>
      </c>
      <c r="E29" s="592">
        <v>0</v>
      </c>
      <c r="F29" s="593">
        <v>0</v>
      </c>
      <c r="G29" s="592">
        <v>0</v>
      </c>
      <c r="H29" s="593">
        <v>0</v>
      </c>
      <c r="I29" s="590">
        <v>0</v>
      </c>
      <c r="J29" s="591">
        <v>0</v>
      </c>
      <c r="K29" s="593">
        <v>0</v>
      </c>
      <c r="L29" s="591">
        <v>0</v>
      </c>
      <c r="M29" s="593">
        <v>0</v>
      </c>
      <c r="N29" s="591">
        <v>0</v>
      </c>
      <c r="O29" s="594">
        <v>0</v>
      </c>
      <c r="P29" s="593">
        <v>0</v>
      </c>
      <c r="Q29" s="680">
        <v>0</v>
      </c>
      <c r="R29" s="496">
        <v>0</v>
      </c>
      <c r="S29" s="679">
        <v>0</v>
      </c>
      <c r="T29" s="678">
        <v>0</v>
      </c>
      <c r="U29" s="376">
        <f t="shared" si="1"/>
        <v>0</v>
      </c>
      <c r="V29" s="377">
        <f t="shared" si="2"/>
        <v>0</v>
      </c>
      <c r="W29" s="63">
        <f>'t1'!M28</f>
        <v>99</v>
      </c>
    </row>
    <row r="30" spans="1:23" ht="12" customHeight="1" x14ac:dyDescent="0.2">
      <c r="A30" s="129" t="str">
        <f>'t1'!A29</f>
        <v>POSIZIONE ECONOMICA B2  VIGILE DEL FUOCO</v>
      </c>
      <c r="B30" s="195" t="str">
        <f>'t1'!B29</f>
        <v>032VF1</v>
      </c>
      <c r="C30" s="590">
        <v>1</v>
      </c>
      <c r="D30" s="591">
        <v>0</v>
      </c>
      <c r="E30" s="592">
        <v>0</v>
      </c>
      <c r="F30" s="593">
        <v>0</v>
      </c>
      <c r="G30" s="592">
        <v>0</v>
      </c>
      <c r="H30" s="593">
        <v>0</v>
      </c>
      <c r="I30" s="590">
        <v>0</v>
      </c>
      <c r="J30" s="591">
        <v>0</v>
      </c>
      <c r="K30" s="593">
        <v>0</v>
      </c>
      <c r="L30" s="591">
        <v>0</v>
      </c>
      <c r="M30" s="593">
        <v>0</v>
      </c>
      <c r="N30" s="591">
        <v>0</v>
      </c>
      <c r="O30" s="594">
        <v>0</v>
      </c>
      <c r="P30" s="593">
        <v>0</v>
      </c>
      <c r="Q30" s="680">
        <v>0</v>
      </c>
      <c r="R30" s="496">
        <v>0</v>
      </c>
      <c r="S30" s="679">
        <v>0</v>
      </c>
      <c r="T30" s="678">
        <v>0</v>
      </c>
      <c r="U30" s="376">
        <f t="shared" si="1"/>
        <v>1</v>
      </c>
      <c r="V30" s="377">
        <f t="shared" si="2"/>
        <v>0</v>
      </c>
      <c r="W30" s="63">
        <f>'t1'!M29</f>
        <v>19</v>
      </c>
    </row>
    <row r="31" spans="1:23" ht="12" customHeight="1" x14ac:dyDescent="0.2">
      <c r="A31" s="129" t="str">
        <f>'t1'!A30</f>
        <v>POSIZIONE ECONOMICA A</v>
      </c>
      <c r="B31" s="195" t="str">
        <f>'t1'!B30</f>
        <v>022000</v>
      </c>
      <c r="C31" s="590">
        <v>14</v>
      </c>
      <c r="D31" s="591">
        <v>26</v>
      </c>
      <c r="E31" s="592">
        <v>0</v>
      </c>
      <c r="F31" s="593">
        <v>0</v>
      </c>
      <c r="G31" s="592">
        <v>0</v>
      </c>
      <c r="H31" s="593">
        <v>0</v>
      </c>
      <c r="I31" s="590">
        <v>0</v>
      </c>
      <c r="J31" s="591">
        <v>0</v>
      </c>
      <c r="K31" s="593">
        <v>0</v>
      </c>
      <c r="L31" s="591">
        <v>0</v>
      </c>
      <c r="M31" s="593">
        <v>0</v>
      </c>
      <c r="N31" s="591">
        <v>0</v>
      </c>
      <c r="O31" s="594">
        <v>0</v>
      </c>
      <c r="P31" s="593">
        <v>0</v>
      </c>
      <c r="Q31" s="680">
        <v>0</v>
      </c>
      <c r="R31" s="496">
        <v>0</v>
      </c>
      <c r="S31" s="679">
        <v>0</v>
      </c>
      <c r="T31" s="678">
        <v>0</v>
      </c>
      <c r="U31" s="376">
        <f t="shared" si="1"/>
        <v>14</v>
      </c>
      <c r="V31" s="377">
        <f t="shared" si="2"/>
        <v>26</v>
      </c>
      <c r="W31" s="63">
        <f>'t1'!M30</f>
        <v>220</v>
      </c>
    </row>
    <row r="32" spans="1:23" ht="12" customHeight="1" x14ac:dyDescent="0.2">
      <c r="A32" s="129" t="str">
        <f>'t1'!A31</f>
        <v>CONTRATTISTI</v>
      </c>
      <c r="B32" s="195" t="str">
        <f>'t1'!B31</f>
        <v>000061</v>
      </c>
      <c r="C32" s="590">
        <v>8</v>
      </c>
      <c r="D32" s="591">
        <v>1</v>
      </c>
      <c r="E32" s="592">
        <v>0</v>
      </c>
      <c r="F32" s="593">
        <v>0</v>
      </c>
      <c r="G32" s="592">
        <v>0</v>
      </c>
      <c r="H32" s="593">
        <v>0</v>
      </c>
      <c r="I32" s="590">
        <v>0</v>
      </c>
      <c r="J32" s="591">
        <v>0</v>
      </c>
      <c r="K32" s="593">
        <v>0</v>
      </c>
      <c r="L32" s="591">
        <v>0</v>
      </c>
      <c r="M32" s="593">
        <v>0</v>
      </c>
      <c r="N32" s="591">
        <v>0</v>
      </c>
      <c r="O32" s="594">
        <v>0</v>
      </c>
      <c r="P32" s="593">
        <v>0</v>
      </c>
      <c r="Q32" s="680">
        <v>0</v>
      </c>
      <c r="R32" s="496">
        <v>0</v>
      </c>
      <c r="S32" s="679">
        <v>0</v>
      </c>
      <c r="T32" s="678">
        <v>0</v>
      </c>
      <c r="U32" s="376">
        <f t="shared" si="1"/>
        <v>8</v>
      </c>
      <c r="V32" s="377">
        <f t="shared" si="2"/>
        <v>1</v>
      </c>
      <c r="W32" s="63">
        <f>'t1'!M31</f>
        <v>128</v>
      </c>
    </row>
    <row r="33" spans="1:23" ht="12" customHeight="1" x14ac:dyDescent="0.2">
      <c r="A33" s="129" t="str">
        <f>'t1'!A32</f>
        <v>SEGRETARIO GENERALE CCIAA</v>
      </c>
      <c r="B33" s="195" t="str">
        <f>'t1'!B32</f>
        <v>0D0104</v>
      </c>
      <c r="C33" s="590">
        <v>0</v>
      </c>
      <c r="D33" s="591">
        <v>0</v>
      </c>
      <c r="E33" s="592">
        <v>0</v>
      </c>
      <c r="F33" s="593">
        <v>0</v>
      </c>
      <c r="G33" s="592">
        <v>0</v>
      </c>
      <c r="H33" s="593">
        <v>0</v>
      </c>
      <c r="I33" s="590">
        <v>0</v>
      </c>
      <c r="J33" s="591">
        <v>0</v>
      </c>
      <c r="K33" s="593">
        <v>0</v>
      </c>
      <c r="L33" s="591">
        <v>0</v>
      </c>
      <c r="M33" s="593">
        <v>0</v>
      </c>
      <c r="N33" s="591">
        <v>0</v>
      </c>
      <c r="O33" s="594">
        <v>0</v>
      </c>
      <c r="P33" s="593">
        <v>0</v>
      </c>
      <c r="Q33" s="680">
        <v>0</v>
      </c>
      <c r="R33" s="496">
        <v>0</v>
      </c>
      <c r="S33" s="679">
        <v>0</v>
      </c>
      <c r="T33" s="678">
        <v>0</v>
      </c>
      <c r="U33" s="376">
        <f t="shared" si="1"/>
        <v>0</v>
      </c>
      <c r="V33" s="377">
        <f t="shared" si="2"/>
        <v>0</v>
      </c>
      <c r="W33" s="63">
        <f>'t1'!M32</f>
        <v>0</v>
      </c>
    </row>
    <row r="34" spans="1:23" ht="12" customHeight="1" thickBot="1" x14ac:dyDescent="0.25">
      <c r="A34" s="129" t="str">
        <f>'t1'!A33</f>
        <v>COLLABORATORE A TEMPO DETERMINATO</v>
      </c>
      <c r="B34" s="195" t="str">
        <f>'t1'!B33</f>
        <v>000096</v>
      </c>
      <c r="C34" s="590">
        <v>0</v>
      </c>
      <c r="D34" s="591">
        <v>0</v>
      </c>
      <c r="E34" s="592">
        <v>1</v>
      </c>
      <c r="F34" s="593">
        <v>1</v>
      </c>
      <c r="G34" s="592">
        <v>0</v>
      </c>
      <c r="H34" s="593">
        <v>0</v>
      </c>
      <c r="I34" s="590">
        <v>0</v>
      </c>
      <c r="J34" s="591">
        <v>0</v>
      </c>
      <c r="K34" s="593">
        <v>0</v>
      </c>
      <c r="L34" s="591">
        <v>0</v>
      </c>
      <c r="M34" s="593">
        <v>0</v>
      </c>
      <c r="N34" s="591">
        <v>0</v>
      </c>
      <c r="O34" s="594">
        <v>0</v>
      </c>
      <c r="P34" s="593">
        <v>0</v>
      </c>
      <c r="Q34" s="680">
        <v>0</v>
      </c>
      <c r="R34" s="496">
        <v>0</v>
      </c>
      <c r="S34" s="679">
        <v>0</v>
      </c>
      <c r="T34" s="678">
        <v>0</v>
      </c>
      <c r="U34" s="376">
        <f t="shared" si="1"/>
        <v>1</v>
      </c>
      <c r="V34" s="377">
        <f t="shared" si="2"/>
        <v>1</v>
      </c>
      <c r="W34" s="63">
        <f>'t1'!M33</f>
        <v>11</v>
      </c>
    </row>
    <row r="35" spans="1:23" ht="12.75" customHeight="1" thickTop="1" thickBot="1" x14ac:dyDescent="0.25">
      <c r="A35" s="72" t="s">
        <v>71</v>
      </c>
      <c r="B35" s="73"/>
      <c r="C35" s="378">
        <f t="shared" ref="C35:V35" si="3">SUM(C7:C34)</f>
        <v>73</v>
      </c>
      <c r="D35" s="380">
        <f t="shared" si="3"/>
        <v>100</v>
      </c>
      <c r="E35" s="441">
        <f t="shared" si="3"/>
        <v>2</v>
      </c>
      <c r="F35" s="380">
        <f t="shared" si="3"/>
        <v>8</v>
      </c>
      <c r="G35" s="441">
        <f t="shared" si="3"/>
        <v>0</v>
      </c>
      <c r="H35" s="380">
        <f t="shared" si="3"/>
        <v>0</v>
      </c>
      <c r="I35" s="441">
        <f t="shared" si="3"/>
        <v>0</v>
      </c>
      <c r="J35" s="380">
        <f t="shared" si="3"/>
        <v>0</v>
      </c>
      <c r="K35" s="441">
        <f t="shared" si="3"/>
        <v>0</v>
      </c>
      <c r="L35" s="380">
        <f t="shared" si="3"/>
        <v>0</v>
      </c>
      <c r="M35" s="441">
        <f t="shared" si="3"/>
        <v>0</v>
      </c>
      <c r="N35" s="380">
        <f t="shared" si="3"/>
        <v>0</v>
      </c>
      <c r="O35" s="441">
        <f t="shared" si="3"/>
        <v>0</v>
      </c>
      <c r="P35" s="380">
        <f t="shared" si="3"/>
        <v>0</v>
      </c>
      <c r="Q35" s="681">
        <f t="shared" si="3"/>
        <v>0</v>
      </c>
      <c r="R35" s="682">
        <f t="shared" si="3"/>
        <v>0</v>
      </c>
      <c r="S35" s="681">
        <f t="shared" si="3"/>
        <v>0</v>
      </c>
      <c r="T35" s="682">
        <f t="shared" si="3"/>
        <v>0</v>
      </c>
      <c r="U35" s="378">
        <f t="shared" si="3"/>
        <v>75</v>
      </c>
      <c r="V35" s="379">
        <f t="shared" si="3"/>
        <v>108</v>
      </c>
    </row>
    <row r="37" spans="1:23" ht="9.75" customHeight="1" x14ac:dyDescent="0.2">
      <c r="A37" s="17" t="str">
        <f>'t1'!$A$35</f>
        <v>(a) personale a tempo indeterminato al quale viene applicato un contratto di lavoro di tipo privatistico (es.:tipografico,chimico,edile,metalmeccanico,portierato, ecc.)</v>
      </c>
      <c r="B37" s="2"/>
      <c r="C37" s="3"/>
      <c r="D37" s="3"/>
      <c r="E37" s="3"/>
      <c r="F37" s="3"/>
      <c r="G37" s="3"/>
      <c r="H37" s="3"/>
      <c r="I37" s="3"/>
      <c r="J37" s="3"/>
      <c r="K37" s="3"/>
      <c r="L37" s="3"/>
      <c r="M37" s="3"/>
      <c r="N37" s="3"/>
      <c r="O37" s="3"/>
      <c r="P37" s="3"/>
      <c r="Q37" s="3"/>
      <c r="R37" s="3"/>
      <c r="S37" s="3"/>
      <c r="T37" s="3"/>
    </row>
    <row r="38" spans="1:23" s="3" customFormat="1" x14ac:dyDescent="0.2">
      <c r="A38" s="17" t="str">
        <f>'t1'!$A$36</f>
        <v>(b) cfr." istruzioni generali e specifiche di comparto" e "glossario"</v>
      </c>
      <c r="B38" s="2"/>
    </row>
    <row r="39" spans="1:23" x14ac:dyDescent="0.2">
      <c r="A39" s="63" t="s">
        <v>150</v>
      </c>
    </row>
  </sheetData>
  <sheetProtection password="DD41" sheet="1" formatColumns="0" selectLockedCells="1"/>
  <mergeCells count="22">
    <mergeCell ref="S5:T5"/>
    <mergeCell ref="E5:F5"/>
    <mergeCell ref="O4:P4"/>
    <mergeCell ref="G5:H5"/>
    <mergeCell ref="I5:J5"/>
    <mergeCell ref="M4:N4"/>
    <mergeCell ref="C5:D5"/>
    <mergeCell ref="A1:P1"/>
    <mergeCell ref="G4:H4"/>
    <mergeCell ref="C4:D4"/>
    <mergeCell ref="E4:F4"/>
    <mergeCell ref="K5:L5"/>
    <mergeCell ref="J2:V2"/>
    <mergeCell ref="I4:J4"/>
    <mergeCell ref="Q4:R4"/>
    <mergeCell ref="Q5:R5"/>
    <mergeCell ref="S4:T4"/>
    <mergeCell ref="U4:V4"/>
    <mergeCell ref="M5:N5"/>
    <mergeCell ref="O5:P5"/>
    <mergeCell ref="K4:L4"/>
    <mergeCell ref="U5:V5"/>
  </mergeCells>
  <phoneticPr fontId="30" type="noConversion"/>
  <conditionalFormatting sqref="A7:V34">
    <cfRule type="expression" dxfId="28" priority="1" stopIfTrue="1">
      <formula>$W7&gt;0</formula>
    </cfRule>
  </conditionalFormatting>
  <printOptions horizontalCentered="1" verticalCentered="1"/>
  <pageMargins left="0" right="0" top="0.19685039370078741" bottom="0.16" header="0.17" footer="0.16"/>
  <pageSetup paperSize="9" scale="74"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4">
    <pageSetUpPr fitToPage="1"/>
  </sheetPr>
  <dimension ref="A1:Y36"/>
  <sheetViews>
    <sheetView showGridLines="0" workbookViewId="0">
      <pane xSplit="2" ySplit="5" topLeftCell="C6" activePane="bottomRight" state="frozen"/>
      <selection activeCell="A2" sqref="A2"/>
      <selection pane="topRight" activeCell="A2" sqref="A2"/>
      <selection pane="bottomLeft" activeCell="A2" sqref="A2"/>
      <selection pane="bottomRight" activeCell="R31" sqref="R31"/>
    </sheetView>
  </sheetViews>
  <sheetFormatPr defaultColWidth="10.6640625" defaultRowHeight="11.25" x14ac:dyDescent="0.2"/>
  <cols>
    <col min="1" max="1" width="42.1640625" style="45" customWidth="1"/>
    <col min="2" max="2" width="10.5" style="47" customWidth="1"/>
    <col min="3" max="22" width="8.33203125" style="45" customWidth="1"/>
    <col min="23" max="23" width="10" style="45" customWidth="1"/>
    <col min="24" max="24" width="10.6640625" style="45"/>
    <col min="25" max="25" width="10.6640625" style="45" hidden="1" customWidth="1"/>
    <col min="26" max="16384" width="10.6640625" style="45"/>
  </cols>
  <sheetData>
    <row r="1" spans="1:25" s="3" customFormat="1" ht="43.5" customHeight="1" x14ac:dyDescent="0.2">
      <c r="A1" s="1486" t="str">
        <f>'t1'!A1</f>
        <v>REGIONE VALLE D'AOSTA - anno 2024</v>
      </c>
      <c r="B1" s="1486"/>
      <c r="C1" s="1486"/>
      <c r="D1" s="1486"/>
      <c r="E1" s="1486"/>
      <c r="F1" s="1486"/>
      <c r="G1" s="1486"/>
      <c r="H1" s="1486"/>
      <c r="I1" s="1486"/>
      <c r="J1" s="1486"/>
      <c r="K1" s="1486"/>
      <c r="L1" s="1486"/>
      <c r="M1" s="1486"/>
      <c r="N1" s="1486"/>
      <c r="O1" s="1486"/>
      <c r="P1" s="1486"/>
      <c r="Q1" s="1486"/>
      <c r="R1" s="1486"/>
      <c r="S1" s="1486"/>
      <c r="T1" s="1486"/>
      <c r="U1" s="1486"/>
      <c r="V1" s="1486"/>
      <c r="X1" s="270"/>
    </row>
    <row r="2" spans="1:25" ht="30" customHeight="1" thickBot="1" x14ac:dyDescent="0.25">
      <c r="A2" s="46"/>
      <c r="P2" s="1487"/>
      <c r="Q2" s="1487"/>
      <c r="R2" s="1487"/>
      <c r="S2" s="1487"/>
      <c r="T2" s="1487"/>
      <c r="U2" s="1487"/>
      <c r="V2" s="1487"/>
      <c r="W2" s="1487"/>
      <c r="X2" s="1487"/>
    </row>
    <row r="3" spans="1:25" ht="16.5" customHeight="1" thickBot="1" x14ac:dyDescent="0.25">
      <c r="A3" s="48"/>
      <c r="B3" s="49"/>
      <c r="C3" s="50" t="s">
        <v>246</v>
      </c>
      <c r="D3" s="51"/>
      <c r="E3" s="51"/>
      <c r="F3" s="51"/>
      <c r="G3" s="51"/>
      <c r="H3" s="51"/>
      <c r="I3" s="51"/>
      <c r="J3" s="51"/>
      <c r="K3" s="51"/>
      <c r="L3" s="51"/>
      <c r="M3" s="51"/>
      <c r="N3" s="51"/>
      <c r="O3" s="51"/>
      <c r="P3" s="51"/>
      <c r="Q3" s="51"/>
      <c r="R3" s="51"/>
      <c r="S3" s="51"/>
      <c r="T3" s="52"/>
      <c r="U3" s="51"/>
      <c r="V3" s="52"/>
      <c r="W3" s="51"/>
      <c r="X3" s="52"/>
    </row>
    <row r="4" spans="1:25" ht="16.5" customHeight="1" thickTop="1" x14ac:dyDescent="0.2">
      <c r="A4" s="239" t="s">
        <v>147</v>
      </c>
      <c r="B4" s="53" t="s">
        <v>68</v>
      </c>
      <c r="C4" s="1516" t="s">
        <v>88</v>
      </c>
      <c r="D4" s="1517"/>
      <c r="E4" s="1516" t="s">
        <v>89</v>
      </c>
      <c r="F4" s="1517"/>
      <c r="G4" s="1516" t="s">
        <v>90</v>
      </c>
      <c r="H4" s="1517"/>
      <c r="I4" s="1516" t="s">
        <v>91</v>
      </c>
      <c r="J4" s="1517"/>
      <c r="K4" s="1516" t="s">
        <v>92</v>
      </c>
      <c r="L4" s="1517"/>
      <c r="M4" s="1516" t="s">
        <v>93</v>
      </c>
      <c r="N4" s="1517"/>
      <c r="O4" s="1516" t="s">
        <v>94</v>
      </c>
      <c r="P4" s="1517"/>
      <c r="Q4" s="1516" t="s">
        <v>95</v>
      </c>
      <c r="R4" s="1517"/>
      <c r="S4" s="1516" t="s">
        <v>447</v>
      </c>
      <c r="T4" s="1517"/>
      <c r="U4" s="1516" t="s">
        <v>448</v>
      </c>
      <c r="V4" s="1517"/>
      <c r="W4" s="54" t="s">
        <v>71</v>
      </c>
      <c r="X4" s="113"/>
    </row>
    <row r="5" spans="1:25" ht="12" thickBot="1" x14ac:dyDescent="0.25">
      <c r="A5" s="747" t="s">
        <v>635</v>
      </c>
      <c r="B5" s="55"/>
      <c r="C5" s="56" t="s">
        <v>86</v>
      </c>
      <c r="D5" s="57" t="s">
        <v>87</v>
      </c>
      <c r="E5" s="56" t="s">
        <v>86</v>
      </c>
      <c r="F5" s="57" t="s">
        <v>87</v>
      </c>
      <c r="G5" s="56" t="s">
        <v>86</v>
      </c>
      <c r="H5" s="57" t="s">
        <v>87</v>
      </c>
      <c r="I5" s="56" t="s">
        <v>86</v>
      </c>
      <c r="J5" s="57" t="s">
        <v>87</v>
      </c>
      <c r="K5" s="56" t="s">
        <v>86</v>
      </c>
      <c r="L5" s="57" t="s">
        <v>87</v>
      </c>
      <c r="M5" s="56" t="s">
        <v>86</v>
      </c>
      <c r="N5" s="57" t="s">
        <v>87</v>
      </c>
      <c r="O5" s="56" t="s">
        <v>86</v>
      </c>
      <c r="P5" s="57" t="s">
        <v>87</v>
      </c>
      <c r="Q5" s="56" t="s">
        <v>86</v>
      </c>
      <c r="R5" s="57" t="s">
        <v>87</v>
      </c>
      <c r="S5" s="56" t="s">
        <v>86</v>
      </c>
      <c r="T5" s="58" t="s">
        <v>87</v>
      </c>
      <c r="U5" s="56" t="s">
        <v>86</v>
      </c>
      <c r="V5" s="58" t="s">
        <v>87</v>
      </c>
      <c r="W5" s="56" t="s">
        <v>86</v>
      </c>
      <c r="X5" s="58" t="s">
        <v>87</v>
      </c>
    </row>
    <row r="6" spans="1:25" ht="12.75" customHeight="1" thickTop="1" x14ac:dyDescent="0.2">
      <c r="A6" s="129" t="str">
        <f>'t1'!A6</f>
        <v>SEGRETARIO I FASCIA</v>
      </c>
      <c r="B6" s="195" t="str">
        <f>'t1'!B6</f>
        <v>0D0102</v>
      </c>
      <c r="C6" s="205">
        <v>0</v>
      </c>
      <c r="D6" s="206">
        <v>0</v>
      </c>
      <c r="E6" s="205">
        <v>0</v>
      </c>
      <c r="F6" s="206">
        <v>0</v>
      </c>
      <c r="G6" s="205">
        <v>0</v>
      </c>
      <c r="H6" s="206">
        <v>0</v>
      </c>
      <c r="I6" s="205">
        <v>0</v>
      </c>
      <c r="J6" s="206">
        <v>0</v>
      </c>
      <c r="K6" s="205">
        <v>0</v>
      </c>
      <c r="L6" s="206">
        <v>0</v>
      </c>
      <c r="M6" s="207">
        <v>0</v>
      </c>
      <c r="N6" s="208">
        <v>0</v>
      </c>
      <c r="O6" s="205">
        <v>0</v>
      </c>
      <c r="P6" s="206">
        <v>0</v>
      </c>
      <c r="Q6" s="205">
        <v>0</v>
      </c>
      <c r="R6" s="206">
        <v>0</v>
      </c>
      <c r="S6" s="209">
        <v>0</v>
      </c>
      <c r="T6" s="210">
        <v>0</v>
      </c>
      <c r="U6" s="209">
        <v>0</v>
      </c>
      <c r="V6" s="210">
        <v>0</v>
      </c>
      <c r="W6" s="384">
        <f t="shared" ref="W6:X9" si="0">SUM(C6,E6,G6,I6,K6,M6,O6,Q6,S6,U6)</f>
        <v>0</v>
      </c>
      <c r="X6" s="385">
        <f t="shared" si="0"/>
        <v>0</v>
      </c>
      <c r="Y6" s="45">
        <f>'t1'!M6</f>
        <v>0</v>
      </c>
    </row>
    <row r="7" spans="1:25" ht="12.75" customHeight="1" x14ac:dyDescent="0.2">
      <c r="A7" s="129" t="str">
        <f>'t1'!A7</f>
        <v>SEGRETARIO II FASCIA</v>
      </c>
      <c r="B7" s="195" t="str">
        <f>'t1'!B7</f>
        <v>0D0103</v>
      </c>
      <c r="C7" s="205">
        <v>0</v>
      </c>
      <c r="D7" s="206">
        <v>0</v>
      </c>
      <c r="E7" s="205">
        <v>0</v>
      </c>
      <c r="F7" s="206">
        <v>0</v>
      </c>
      <c r="G7" s="205">
        <v>0</v>
      </c>
      <c r="H7" s="206">
        <v>0</v>
      </c>
      <c r="I7" s="205">
        <v>0</v>
      </c>
      <c r="J7" s="206">
        <v>0</v>
      </c>
      <c r="K7" s="205">
        <v>0</v>
      </c>
      <c r="L7" s="206">
        <v>0</v>
      </c>
      <c r="M7" s="207">
        <v>0</v>
      </c>
      <c r="N7" s="208">
        <v>0</v>
      </c>
      <c r="O7" s="205">
        <v>0</v>
      </c>
      <c r="P7" s="206">
        <v>0</v>
      </c>
      <c r="Q7" s="205">
        <v>0</v>
      </c>
      <c r="R7" s="206">
        <v>0</v>
      </c>
      <c r="S7" s="209">
        <v>0</v>
      </c>
      <c r="T7" s="210">
        <v>0</v>
      </c>
      <c r="U7" s="209">
        <v>0</v>
      </c>
      <c r="V7" s="210">
        <v>0</v>
      </c>
      <c r="W7" s="384">
        <f t="shared" si="0"/>
        <v>0</v>
      </c>
      <c r="X7" s="385">
        <f t="shared" si="0"/>
        <v>0</v>
      </c>
      <c r="Y7" s="45">
        <f>'t1'!M7</f>
        <v>0</v>
      </c>
    </row>
    <row r="8" spans="1:25" ht="12.75" customHeight="1" x14ac:dyDescent="0.2">
      <c r="A8" s="129" t="str">
        <f>'t1'!A8</f>
        <v>SEGRETARIO III FASCIA</v>
      </c>
      <c r="B8" s="195" t="str">
        <f>'t1'!B8</f>
        <v>0D0485</v>
      </c>
      <c r="C8" s="205">
        <v>0</v>
      </c>
      <c r="D8" s="206">
        <v>0</v>
      </c>
      <c r="E8" s="205">
        <v>0</v>
      </c>
      <c r="F8" s="206">
        <v>0</v>
      </c>
      <c r="G8" s="205">
        <v>0</v>
      </c>
      <c r="H8" s="206">
        <v>0</v>
      </c>
      <c r="I8" s="205">
        <v>0</v>
      </c>
      <c r="J8" s="206">
        <v>0</v>
      </c>
      <c r="K8" s="205">
        <v>0</v>
      </c>
      <c r="L8" s="206">
        <v>0</v>
      </c>
      <c r="M8" s="207">
        <v>0</v>
      </c>
      <c r="N8" s="208">
        <v>0</v>
      </c>
      <c r="O8" s="205">
        <v>0</v>
      </c>
      <c r="P8" s="206">
        <v>0</v>
      </c>
      <c r="Q8" s="205">
        <v>0</v>
      </c>
      <c r="R8" s="206">
        <v>0</v>
      </c>
      <c r="S8" s="209">
        <v>0</v>
      </c>
      <c r="T8" s="210">
        <v>0</v>
      </c>
      <c r="U8" s="209">
        <v>0</v>
      </c>
      <c r="V8" s="210">
        <v>0</v>
      </c>
      <c r="W8" s="384">
        <f t="shared" si="0"/>
        <v>0</v>
      </c>
      <c r="X8" s="385">
        <f t="shared" si="0"/>
        <v>0</v>
      </c>
      <c r="Y8" s="45">
        <f>'t1'!M8</f>
        <v>0</v>
      </c>
    </row>
    <row r="9" spans="1:25" ht="12.75" customHeight="1" x14ac:dyDescent="0.2">
      <c r="A9" s="129" t="str">
        <f>'t1'!A9</f>
        <v>DIRIGENTI</v>
      </c>
      <c r="B9" s="195" t="str">
        <f>'t1'!B9</f>
        <v>0D0164</v>
      </c>
      <c r="C9" s="205">
        <v>8</v>
      </c>
      <c r="D9" s="206">
        <v>12</v>
      </c>
      <c r="E9" s="205">
        <v>8</v>
      </c>
      <c r="F9" s="206">
        <v>7</v>
      </c>
      <c r="G9" s="205">
        <v>4</v>
      </c>
      <c r="H9" s="206">
        <v>2</v>
      </c>
      <c r="I9" s="205">
        <v>6</v>
      </c>
      <c r="J9" s="206">
        <v>6</v>
      </c>
      <c r="K9" s="205">
        <v>9</v>
      </c>
      <c r="L9" s="206">
        <v>2</v>
      </c>
      <c r="M9" s="207">
        <v>14</v>
      </c>
      <c r="N9" s="208">
        <v>4</v>
      </c>
      <c r="O9" s="205">
        <v>12</v>
      </c>
      <c r="P9" s="206">
        <v>5</v>
      </c>
      <c r="Q9" s="205">
        <v>4</v>
      </c>
      <c r="R9" s="206">
        <v>8</v>
      </c>
      <c r="S9" s="209">
        <v>0</v>
      </c>
      <c r="T9" s="210">
        <v>1</v>
      </c>
      <c r="U9" s="209">
        <v>0</v>
      </c>
      <c r="V9" s="210">
        <v>0</v>
      </c>
      <c r="W9" s="384">
        <f t="shared" si="0"/>
        <v>65</v>
      </c>
      <c r="X9" s="385">
        <f t="shared" si="0"/>
        <v>47</v>
      </c>
      <c r="Y9" s="45">
        <f>'t1'!M9</f>
        <v>112</v>
      </c>
    </row>
    <row r="10" spans="1:25" ht="12.75" customHeight="1" x14ac:dyDescent="0.2">
      <c r="A10" s="129" t="str">
        <f>'t1'!A10</f>
        <v>POSIZIONE ECONOMICA D</v>
      </c>
      <c r="B10" s="195" t="str">
        <f>'t1'!B10</f>
        <v>047000</v>
      </c>
      <c r="C10" s="205">
        <v>22</v>
      </c>
      <c r="D10" s="206">
        <v>50</v>
      </c>
      <c r="E10" s="205">
        <v>27</v>
      </c>
      <c r="F10" s="206">
        <v>24</v>
      </c>
      <c r="G10" s="205">
        <v>10</v>
      </c>
      <c r="H10" s="206">
        <v>41</v>
      </c>
      <c r="I10" s="205">
        <v>19</v>
      </c>
      <c r="J10" s="206">
        <v>30</v>
      </c>
      <c r="K10" s="205">
        <v>17</v>
      </c>
      <c r="L10" s="206">
        <v>35</v>
      </c>
      <c r="M10" s="207">
        <v>29</v>
      </c>
      <c r="N10" s="208">
        <v>46</v>
      </c>
      <c r="O10" s="205">
        <v>7</v>
      </c>
      <c r="P10" s="206">
        <v>44</v>
      </c>
      <c r="Q10" s="205">
        <v>16</v>
      </c>
      <c r="R10" s="206">
        <v>29</v>
      </c>
      <c r="S10" s="209">
        <v>3</v>
      </c>
      <c r="T10" s="210">
        <v>10</v>
      </c>
      <c r="U10" s="209">
        <v>0</v>
      </c>
      <c r="V10" s="210">
        <v>1</v>
      </c>
      <c r="W10" s="384">
        <f t="shared" ref="W10:W25" si="1">SUM(C10,E10,G10,I10,K10,M10,O10,Q10,S10,U10)</f>
        <v>150</v>
      </c>
      <c r="X10" s="385">
        <f t="shared" ref="X10:X25" si="2">SUM(D10,F10,H10,J10,L10,N10,P10,R10,T10,V10)</f>
        <v>310</v>
      </c>
      <c r="Y10" s="45">
        <f>'t1'!M10</f>
        <v>460</v>
      </c>
    </row>
    <row r="11" spans="1:25" ht="12.75" customHeight="1" x14ac:dyDescent="0.2">
      <c r="A11" s="129" t="str">
        <f>'t1'!A11</f>
        <v>POSIZIONE ECONOMICA D - FORESTALE</v>
      </c>
      <c r="B11" s="195" t="str">
        <f>'t1'!B11</f>
        <v>047FOR</v>
      </c>
      <c r="C11" s="205">
        <v>0</v>
      </c>
      <c r="D11" s="206">
        <v>0</v>
      </c>
      <c r="E11" s="205">
        <v>0</v>
      </c>
      <c r="F11" s="206">
        <v>0</v>
      </c>
      <c r="G11" s="205">
        <v>0</v>
      </c>
      <c r="H11" s="206">
        <v>0</v>
      </c>
      <c r="I11" s="205">
        <v>0</v>
      </c>
      <c r="J11" s="206">
        <v>0</v>
      </c>
      <c r="K11" s="205">
        <v>0</v>
      </c>
      <c r="L11" s="206">
        <v>0</v>
      </c>
      <c r="M11" s="207">
        <v>0</v>
      </c>
      <c r="N11" s="208">
        <v>0</v>
      </c>
      <c r="O11" s="205">
        <v>0</v>
      </c>
      <c r="P11" s="206">
        <v>0</v>
      </c>
      <c r="Q11" s="205">
        <v>0</v>
      </c>
      <c r="R11" s="206">
        <v>0</v>
      </c>
      <c r="S11" s="209">
        <v>0</v>
      </c>
      <c r="T11" s="210">
        <v>0</v>
      </c>
      <c r="U11" s="209">
        <v>0</v>
      </c>
      <c r="V11" s="210">
        <v>0</v>
      </c>
      <c r="W11" s="384">
        <f t="shared" si="1"/>
        <v>0</v>
      </c>
      <c r="X11" s="385">
        <f t="shared" si="2"/>
        <v>0</v>
      </c>
      <c r="Y11" s="45">
        <f>'t1'!M11</f>
        <v>0</v>
      </c>
    </row>
    <row r="12" spans="1:25" ht="12.75" customHeight="1" x14ac:dyDescent="0.2">
      <c r="A12" s="129" t="str">
        <f>'t1'!A12</f>
        <v>POSIZIONE ECONOMICA D  ISPETTORE ANTINCENDI DIRETTORE-VVFF</v>
      </c>
      <c r="B12" s="195" t="str">
        <f>'t1'!B12</f>
        <v>047IS3</v>
      </c>
      <c r="C12" s="205">
        <v>0</v>
      </c>
      <c r="D12" s="206">
        <v>0</v>
      </c>
      <c r="E12" s="205">
        <v>0</v>
      </c>
      <c r="F12" s="206">
        <v>0</v>
      </c>
      <c r="G12" s="205">
        <v>0</v>
      </c>
      <c r="H12" s="206">
        <v>0</v>
      </c>
      <c r="I12" s="205">
        <v>0</v>
      </c>
      <c r="J12" s="206">
        <v>0</v>
      </c>
      <c r="K12" s="205">
        <v>0</v>
      </c>
      <c r="L12" s="206">
        <v>0</v>
      </c>
      <c r="M12" s="207">
        <v>0</v>
      </c>
      <c r="N12" s="208">
        <v>0</v>
      </c>
      <c r="O12" s="205">
        <v>0</v>
      </c>
      <c r="P12" s="206">
        <v>0</v>
      </c>
      <c r="Q12" s="205">
        <v>0</v>
      </c>
      <c r="R12" s="206">
        <v>0</v>
      </c>
      <c r="S12" s="209">
        <v>0</v>
      </c>
      <c r="T12" s="210">
        <v>0</v>
      </c>
      <c r="U12" s="209">
        <v>0</v>
      </c>
      <c r="V12" s="210">
        <v>0</v>
      </c>
      <c r="W12" s="384">
        <f t="shared" si="1"/>
        <v>0</v>
      </c>
      <c r="X12" s="385">
        <f t="shared" si="2"/>
        <v>0</v>
      </c>
      <c r="Y12" s="45">
        <f>'t1'!M12</f>
        <v>0</v>
      </c>
    </row>
    <row r="13" spans="1:25" ht="12.75" customHeight="1" x14ac:dyDescent="0.2">
      <c r="A13" s="129" t="str">
        <f>'t1'!A13</f>
        <v>POSIZIONE ECONOMICA D  ISPETTORE ANTINCENDI  VVFF</v>
      </c>
      <c r="B13" s="195" t="str">
        <f>'t1'!B13</f>
        <v>047IS2</v>
      </c>
      <c r="C13" s="205">
        <v>0</v>
      </c>
      <c r="D13" s="206">
        <v>0</v>
      </c>
      <c r="E13" s="205">
        <v>0</v>
      </c>
      <c r="F13" s="206">
        <v>0</v>
      </c>
      <c r="G13" s="205">
        <v>2</v>
      </c>
      <c r="H13" s="206">
        <v>0</v>
      </c>
      <c r="I13" s="205">
        <v>0</v>
      </c>
      <c r="J13" s="206">
        <v>0</v>
      </c>
      <c r="K13" s="205">
        <v>3</v>
      </c>
      <c r="L13" s="206">
        <v>0</v>
      </c>
      <c r="M13" s="207">
        <v>0</v>
      </c>
      <c r="N13" s="208">
        <v>0</v>
      </c>
      <c r="O13" s="205">
        <v>0</v>
      </c>
      <c r="P13" s="206">
        <v>0</v>
      </c>
      <c r="Q13" s="205">
        <v>0</v>
      </c>
      <c r="R13" s="206">
        <v>0</v>
      </c>
      <c r="S13" s="209">
        <v>0</v>
      </c>
      <c r="T13" s="210">
        <v>0</v>
      </c>
      <c r="U13" s="209">
        <v>0</v>
      </c>
      <c r="V13" s="210">
        <v>0</v>
      </c>
      <c r="W13" s="384">
        <f t="shared" si="1"/>
        <v>5</v>
      </c>
      <c r="X13" s="385">
        <f t="shared" si="2"/>
        <v>0</v>
      </c>
      <c r="Y13" s="45">
        <f>'t1'!M13</f>
        <v>5</v>
      </c>
    </row>
    <row r="14" spans="1:25" ht="12.75" customHeight="1" x14ac:dyDescent="0.2">
      <c r="A14" s="129" t="str">
        <f>'t1'!A14</f>
        <v>POSIZIONE ECONOMICA C2</v>
      </c>
      <c r="B14" s="195" t="str">
        <f>'t1'!B14</f>
        <v>042000</v>
      </c>
      <c r="C14" s="205">
        <v>58</v>
      </c>
      <c r="D14" s="206">
        <v>107</v>
      </c>
      <c r="E14" s="205">
        <v>14</v>
      </c>
      <c r="F14" s="206">
        <v>20</v>
      </c>
      <c r="G14" s="205">
        <v>11</v>
      </c>
      <c r="H14" s="206">
        <v>21</v>
      </c>
      <c r="I14" s="205">
        <v>20</v>
      </c>
      <c r="J14" s="206">
        <v>28</v>
      </c>
      <c r="K14" s="205">
        <v>28</v>
      </c>
      <c r="L14" s="206">
        <v>52</v>
      </c>
      <c r="M14" s="207">
        <v>30</v>
      </c>
      <c r="N14" s="208">
        <v>41</v>
      </c>
      <c r="O14" s="205">
        <v>49</v>
      </c>
      <c r="P14" s="206">
        <v>102</v>
      </c>
      <c r="Q14" s="205">
        <v>61</v>
      </c>
      <c r="R14" s="206">
        <v>93</v>
      </c>
      <c r="S14" s="209">
        <v>9</v>
      </c>
      <c r="T14" s="210">
        <v>17</v>
      </c>
      <c r="U14" s="209">
        <v>2</v>
      </c>
      <c r="V14" s="210">
        <v>3</v>
      </c>
      <c r="W14" s="384">
        <f t="shared" si="1"/>
        <v>282</v>
      </c>
      <c r="X14" s="385">
        <f t="shared" si="2"/>
        <v>484</v>
      </c>
      <c r="Y14" s="45">
        <f>'t1'!M14</f>
        <v>766</v>
      </c>
    </row>
    <row r="15" spans="1:25" ht="12.75" customHeight="1" x14ac:dyDescent="0.2">
      <c r="A15" s="129" t="str">
        <f>'t1'!A15</f>
        <v>POSIZIONE ECONOMICA C1</v>
      </c>
      <c r="B15" s="195" t="str">
        <f>'t1'!B15</f>
        <v>040000</v>
      </c>
      <c r="C15" s="205">
        <v>0</v>
      </c>
      <c r="D15" s="206">
        <v>0</v>
      </c>
      <c r="E15" s="205">
        <v>0</v>
      </c>
      <c r="F15" s="206">
        <v>0</v>
      </c>
      <c r="G15" s="205">
        <v>0</v>
      </c>
      <c r="H15" s="206">
        <v>0</v>
      </c>
      <c r="I15" s="205">
        <v>0</v>
      </c>
      <c r="J15" s="206">
        <v>0</v>
      </c>
      <c r="K15" s="205">
        <v>0</v>
      </c>
      <c r="L15" s="206">
        <v>2</v>
      </c>
      <c r="M15" s="207">
        <v>2</v>
      </c>
      <c r="N15" s="208">
        <v>1</v>
      </c>
      <c r="O15" s="205">
        <v>5</v>
      </c>
      <c r="P15" s="206">
        <v>5</v>
      </c>
      <c r="Q15" s="205">
        <v>3</v>
      </c>
      <c r="R15" s="206">
        <v>5</v>
      </c>
      <c r="S15" s="209">
        <v>1</v>
      </c>
      <c r="T15" s="210">
        <v>1</v>
      </c>
      <c r="U15" s="209">
        <v>0</v>
      </c>
      <c r="V15" s="210">
        <v>0</v>
      </c>
      <c r="W15" s="384">
        <f t="shared" si="1"/>
        <v>11</v>
      </c>
      <c r="X15" s="385">
        <f t="shared" si="2"/>
        <v>14</v>
      </c>
      <c r="Y15" s="45">
        <f>'t1'!M15</f>
        <v>25</v>
      </c>
    </row>
    <row r="16" spans="1:25" ht="12.75" customHeight="1" x14ac:dyDescent="0.2">
      <c r="A16" s="129" t="str">
        <f>'t1'!A16</f>
        <v>ISPETTORE FORESTALE C21F</v>
      </c>
      <c r="B16" s="195" t="str">
        <f>'t1'!B16</f>
        <v>042324</v>
      </c>
      <c r="C16" s="205">
        <v>0</v>
      </c>
      <c r="D16" s="206">
        <v>0</v>
      </c>
      <c r="E16" s="205">
        <v>0</v>
      </c>
      <c r="F16" s="206">
        <v>0</v>
      </c>
      <c r="G16" s="205">
        <v>0</v>
      </c>
      <c r="H16" s="206">
        <v>0</v>
      </c>
      <c r="I16" s="205">
        <v>0</v>
      </c>
      <c r="J16" s="206">
        <v>0</v>
      </c>
      <c r="K16" s="205">
        <v>0</v>
      </c>
      <c r="L16" s="206">
        <v>0</v>
      </c>
      <c r="M16" s="207">
        <v>4</v>
      </c>
      <c r="N16" s="208">
        <v>5</v>
      </c>
      <c r="O16" s="205">
        <v>6</v>
      </c>
      <c r="P16" s="206">
        <v>0</v>
      </c>
      <c r="Q16" s="205">
        <v>3</v>
      </c>
      <c r="R16" s="206">
        <v>0</v>
      </c>
      <c r="S16" s="209">
        <v>1</v>
      </c>
      <c r="T16" s="210">
        <v>0</v>
      </c>
      <c r="U16" s="209">
        <v>0</v>
      </c>
      <c r="V16" s="210">
        <v>0</v>
      </c>
      <c r="W16" s="384">
        <f t="shared" si="1"/>
        <v>14</v>
      </c>
      <c r="X16" s="385">
        <f t="shared" si="2"/>
        <v>5</v>
      </c>
      <c r="Y16" s="45">
        <f>'t1'!M16</f>
        <v>19</v>
      </c>
    </row>
    <row r="17" spans="1:25" ht="12.75" customHeight="1" x14ac:dyDescent="0.2">
      <c r="A17" s="129" t="str">
        <f>'t1'!A17</f>
        <v>SOVRAINTENDENTE C1F</v>
      </c>
      <c r="B17" s="195" t="str">
        <f>'t1'!B17</f>
        <v>040211</v>
      </c>
      <c r="C17" s="205">
        <v>0</v>
      </c>
      <c r="D17" s="206">
        <v>0</v>
      </c>
      <c r="E17" s="205">
        <v>5</v>
      </c>
      <c r="F17" s="206">
        <v>1</v>
      </c>
      <c r="G17" s="205">
        <v>5</v>
      </c>
      <c r="H17" s="206">
        <v>3</v>
      </c>
      <c r="I17" s="205">
        <v>1</v>
      </c>
      <c r="J17" s="206">
        <v>0</v>
      </c>
      <c r="K17" s="205">
        <v>0</v>
      </c>
      <c r="L17" s="206">
        <v>0</v>
      </c>
      <c r="M17" s="207">
        <v>2</v>
      </c>
      <c r="N17" s="208">
        <v>2</v>
      </c>
      <c r="O17" s="205">
        <v>4</v>
      </c>
      <c r="P17" s="206">
        <v>1</v>
      </c>
      <c r="Q17" s="205">
        <v>2</v>
      </c>
      <c r="R17" s="206">
        <v>1</v>
      </c>
      <c r="S17" s="209">
        <v>0</v>
      </c>
      <c r="T17" s="210">
        <v>0</v>
      </c>
      <c r="U17" s="209">
        <v>0</v>
      </c>
      <c r="V17" s="210">
        <v>0</v>
      </c>
      <c r="W17" s="384">
        <f t="shared" si="1"/>
        <v>19</v>
      </c>
      <c r="X17" s="385">
        <f t="shared" si="2"/>
        <v>8</v>
      </c>
      <c r="Y17" s="45">
        <f>'t1'!M17</f>
        <v>27</v>
      </c>
    </row>
    <row r="18" spans="1:25" ht="12.75" customHeight="1" x14ac:dyDescent="0.2">
      <c r="A18" s="129" t="str">
        <f>'t1'!A18</f>
        <v>POSIZIONE ECONOMICA C2  CAPO REPARTO  VVFF</v>
      </c>
      <c r="B18" s="195" t="str">
        <f>'t1'!B18</f>
        <v>042CR1</v>
      </c>
      <c r="C18" s="205">
        <v>0</v>
      </c>
      <c r="D18" s="206">
        <v>0</v>
      </c>
      <c r="E18" s="205">
        <v>0</v>
      </c>
      <c r="F18" s="206">
        <v>0</v>
      </c>
      <c r="G18" s="205">
        <v>0</v>
      </c>
      <c r="H18" s="206">
        <v>0</v>
      </c>
      <c r="I18" s="205">
        <v>0</v>
      </c>
      <c r="J18" s="206">
        <v>0</v>
      </c>
      <c r="K18" s="205">
        <v>0</v>
      </c>
      <c r="L18" s="206">
        <v>0</v>
      </c>
      <c r="M18" s="207">
        <v>7</v>
      </c>
      <c r="N18" s="208">
        <v>0</v>
      </c>
      <c r="O18" s="205">
        <v>4</v>
      </c>
      <c r="P18" s="206">
        <v>0</v>
      </c>
      <c r="Q18" s="205">
        <v>0</v>
      </c>
      <c r="R18" s="206">
        <v>0</v>
      </c>
      <c r="S18" s="209">
        <v>0</v>
      </c>
      <c r="T18" s="210">
        <v>0</v>
      </c>
      <c r="U18" s="209">
        <v>0</v>
      </c>
      <c r="V18" s="210">
        <v>0</v>
      </c>
      <c r="W18" s="384">
        <f t="shared" si="1"/>
        <v>11</v>
      </c>
      <c r="X18" s="385">
        <f t="shared" si="2"/>
        <v>0</v>
      </c>
      <c r="Y18" s="45">
        <f>'t1'!M18</f>
        <v>11</v>
      </c>
    </row>
    <row r="19" spans="1:25" ht="12.75" customHeight="1" x14ac:dyDescent="0.2">
      <c r="A19" s="129" t="str">
        <f>'t1'!A19</f>
        <v>POSIZIONE ECONOMICA C2  COLLAB. TECNICO ANTINCENDI  VVFF</v>
      </c>
      <c r="B19" s="195" t="str">
        <f>'t1'!B19</f>
        <v>042CA0</v>
      </c>
      <c r="C19" s="205">
        <v>0</v>
      </c>
      <c r="D19" s="206">
        <v>0</v>
      </c>
      <c r="E19" s="205">
        <v>5</v>
      </c>
      <c r="F19" s="206">
        <v>0</v>
      </c>
      <c r="G19" s="205">
        <v>1</v>
      </c>
      <c r="H19" s="206">
        <v>0</v>
      </c>
      <c r="I19" s="205">
        <v>0</v>
      </c>
      <c r="J19" s="206">
        <v>0</v>
      </c>
      <c r="K19" s="205">
        <v>1</v>
      </c>
      <c r="L19" s="206">
        <v>0</v>
      </c>
      <c r="M19" s="207">
        <v>1</v>
      </c>
      <c r="N19" s="208">
        <v>0</v>
      </c>
      <c r="O19" s="205">
        <v>0</v>
      </c>
      <c r="P19" s="206">
        <v>0</v>
      </c>
      <c r="Q19" s="205">
        <v>0</v>
      </c>
      <c r="R19" s="206">
        <v>0</v>
      </c>
      <c r="S19" s="209">
        <v>0</v>
      </c>
      <c r="T19" s="210">
        <v>0</v>
      </c>
      <c r="U19" s="209">
        <v>0</v>
      </c>
      <c r="V19" s="210">
        <v>0</v>
      </c>
      <c r="W19" s="384">
        <f t="shared" si="1"/>
        <v>8</v>
      </c>
      <c r="X19" s="385">
        <f t="shared" si="2"/>
        <v>0</v>
      </c>
      <c r="Y19" s="45">
        <f>'t1'!M19</f>
        <v>8</v>
      </c>
    </row>
    <row r="20" spans="1:25" ht="12.75" customHeight="1" x14ac:dyDescent="0.2">
      <c r="A20" s="129" t="str">
        <f>'t1'!A20</f>
        <v>POSIZIONE ECONOMICA C1  CAPO SQUADRA  VVFF</v>
      </c>
      <c r="B20" s="195" t="str">
        <f>'t1'!B20</f>
        <v>040CS1</v>
      </c>
      <c r="C20" s="205">
        <v>0</v>
      </c>
      <c r="D20" s="206">
        <v>0</v>
      </c>
      <c r="E20" s="205">
        <v>0</v>
      </c>
      <c r="F20" s="206">
        <v>0</v>
      </c>
      <c r="G20" s="205">
        <v>0</v>
      </c>
      <c r="H20" s="206">
        <v>0</v>
      </c>
      <c r="I20" s="205">
        <v>0</v>
      </c>
      <c r="J20" s="206">
        <v>0</v>
      </c>
      <c r="K20" s="205">
        <v>26</v>
      </c>
      <c r="L20" s="206">
        <v>0</v>
      </c>
      <c r="M20" s="207">
        <v>5</v>
      </c>
      <c r="N20" s="208">
        <v>0</v>
      </c>
      <c r="O20" s="205">
        <v>0</v>
      </c>
      <c r="P20" s="206">
        <v>0</v>
      </c>
      <c r="Q20" s="205">
        <v>0</v>
      </c>
      <c r="R20" s="206">
        <v>0</v>
      </c>
      <c r="S20" s="209">
        <v>0</v>
      </c>
      <c r="T20" s="210">
        <v>0</v>
      </c>
      <c r="U20" s="209">
        <v>0</v>
      </c>
      <c r="V20" s="210">
        <v>0</v>
      </c>
      <c r="W20" s="384">
        <f t="shared" si="1"/>
        <v>31</v>
      </c>
      <c r="X20" s="385">
        <f t="shared" si="2"/>
        <v>0</v>
      </c>
      <c r="Y20" s="45">
        <f>'t1'!M20</f>
        <v>31</v>
      </c>
    </row>
    <row r="21" spans="1:25" ht="12.75" customHeight="1" x14ac:dyDescent="0.2">
      <c r="A21" s="129" t="str">
        <f>'t1'!A21</f>
        <v>POSIZIONE ECONOMICA B3</v>
      </c>
      <c r="B21" s="195" t="str">
        <f>'t1'!B21</f>
        <v>034000</v>
      </c>
      <c r="C21" s="205">
        <v>0</v>
      </c>
      <c r="D21" s="206">
        <v>0</v>
      </c>
      <c r="E21" s="205">
        <v>0</v>
      </c>
      <c r="F21" s="206">
        <v>0</v>
      </c>
      <c r="G21" s="205">
        <v>0</v>
      </c>
      <c r="H21" s="206">
        <v>0</v>
      </c>
      <c r="I21" s="205">
        <v>1</v>
      </c>
      <c r="J21" s="206">
        <v>0</v>
      </c>
      <c r="K21" s="205">
        <v>1</v>
      </c>
      <c r="L21" s="206">
        <v>0</v>
      </c>
      <c r="M21" s="207">
        <v>3</v>
      </c>
      <c r="N21" s="208">
        <v>1</v>
      </c>
      <c r="O21" s="205">
        <v>1</v>
      </c>
      <c r="P21" s="206">
        <v>2</v>
      </c>
      <c r="Q21" s="205">
        <v>3</v>
      </c>
      <c r="R21" s="206">
        <v>0</v>
      </c>
      <c r="S21" s="209">
        <v>1</v>
      </c>
      <c r="T21" s="210">
        <v>0</v>
      </c>
      <c r="U21" s="209">
        <v>0</v>
      </c>
      <c r="V21" s="210">
        <v>0</v>
      </c>
      <c r="W21" s="384">
        <f t="shared" si="1"/>
        <v>10</v>
      </c>
      <c r="X21" s="385">
        <f t="shared" si="2"/>
        <v>3</v>
      </c>
      <c r="Y21" s="45">
        <f>'t1'!M21</f>
        <v>13</v>
      </c>
    </row>
    <row r="22" spans="1:25" ht="12.75" customHeight="1" x14ac:dyDescent="0.2">
      <c r="A22" s="129" t="str">
        <f>'t1'!A22</f>
        <v>POSIZIONE ECONOMICA B2S</v>
      </c>
      <c r="B22" s="195" t="str">
        <f>'t1'!B22</f>
        <v>033000</v>
      </c>
      <c r="C22" s="205">
        <v>0</v>
      </c>
      <c r="D22" s="206">
        <v>0</v>
      </c>
      <c r="E22" s="205">
        <v>0</v>
      </c>
      <c r="F22" s="206">
        <v>2</v>
      </c>
      <c r="G22" s="205">
        <v>0</v>
      </c>
      <c r="H22" s="206">
        <v>0</v>
      </c>
      <c r="I22" s="205">
        <v>0</v>
      </c>
      <c r="J22" s="206">
        <v>0</v>
      </c>
      <c r="K22" s="205">
        <v>0</v>
      </c>
      <c r="L22" s="206">
        <v>3</v>
      </c>
      <c r="M22" s="207">
        <v>0</v>
      </c>
      <c r="N22" s="208">
        <v>0</v>
      </c>
      <c r="O22" s="205">
        <v>0</v>
      </c>
      <c r="P22" s="206">
        <v>0</v>
      </c>
      <c r="Q22" s="205">
        <v>0</v>
      </c>
      <c r="R22" s="206">
        <v>0</v>
      </c>
      <c r="S22" s="209">
        <v>0</v>
      </c>
      <c r="T22" s="210">
        <v>0</v>
      </c>
      <c r="U22" s="209">
        <v>0</v>
      </c>
      <c r="V22" s="210">
        <v>0</v>
      </c>
      <c r="W22" s="384">
        <f t="shared" si="1"/>
        <v>0</v>
      </c>
      <c r="X22" s="385">
        <f t="shared" si="2"/>
        <v>5</v>
      </c>
      <c r="Y22" s="45">
        <f>'t1'!M22</f>
        <v>5</v>
      </c>
    </row>
    <row r="23" spans="1:25" ht="12.75" customHeight="1" x14ac:dyDescent="0.2">
      <c r="A23" s="129" t="str">
        <f>'t1'!A23</f>
        <v>POSIZIONE ECONOMICA B2</v>
      </c>
      <c r="B23" s="195" t="str">
        <f>'t1'!B23</f>
        <v>032000</v>
      </c>
      <c r="C23" s="205">
        <v>19</v>
      </c>
      <c r="D23" s="206">
        <v>16</v>
      </c>
      <c r="E23" s="205">
        <v>26</v>
      </c>
      <c r="F23" s="206">
        <v>16</v>
      </c>
      <c r="G23" s="205">
        <v>5</v>
      </c>
      <c r="H23" s="206">
        <v>6</v>
      </c>
      <c r="I23" s="205">
        <v>11</v>
      </c>
      <c r="J23" s="206">
        <v>18</v>
      </c>
      <c r="K23" s="205">
        <v>25</v>
      </c>
      <c r="L23" s="206">
        <v>30</v>
      </c>
      <c r="M23" s="207">
        <v>32</v>
      </c>
      <c r="N23" s="208">
        <v>53</v>
      </c>
      <c r="O23" s="205">
        <v>30</v>
      </c>
      <c r="P23" s="206">
        <v>76</v>
      </c>
      <c r="Q23" s="205">
        <v>17</v>
      </c>
      <c r="R23" s="206">
        <v>100</v>
      </c>
      <c r="S23" s="209">
        <v>8</v>
      </c>
      <c r="T23" s="210">
        <v>23</v>
      </c>
      <c r="U23" s="209">
        <v>1</v>
      </c>
      <c r="V23" s="210">
        <v>4</v>
      </c>
      <c r="W23" s="384">
        <f t="shared" si="1"/>
        <v>174</v>
      </c>
      <c r="X23" s="385">
        <f t="shared" si="2"/>
        <v>342</v>
      </c>
      <c r="Y23" s="45">
        <f>'t1'!M23</f>
        <v>516</v>
      </c>
    </row>
    <row r="24" spans="1:25" ht="12.75" customHeight="1" x14ac:dyDescent="0.2">
      <c r="A24" s="129" t="str">
        <f>'t1'!A24</f>
        <v>POSIZIONE ECONOMICA B1</v>
      </c>
      <c r="B24" s="195" t="str">
        <f>'t1'!B24</f>
        <v>030000</v>
      </c>
      <c r="C24" s="205">
        <v>0</v>
      </c>
      <c r="D24" s="206">
        <v>0</v>
      </c>
      <c r="E24" s="205">
        <v>0</v>
      </c>
      <c r="F24" s="206">
        <v>0</v>
      </c>
      <c r="G24" s="205">
        <v>3</v>
      </c>
      <c r="H24" s="206">
        <v>0</v>
      </c>
      <c r="I24" s="205">
        <v>2</v>
      </c>
      <c r="J24" s="206">
        <v>0</v>
      </c>
      <c r="K24" s="205">
        <v>3</v>
      </c>
      <c r="L24" s="206">
        <v>1</v>
      </c>
      <c r="M24" s="207">
        <v>0</v>
      </c>
      <c r="N24" s="208">
        <v>0</v>
      </c>
      <c r="O24" s="205">
        <v>5</v>
      </c>
      <c r="P24" s="206">
        <v>0</v>
      </c>
      <c r="Q24" s="205">
        <v>6</v>
      </c>
      <c r="R24" s="206">
        <v>1</v>
      </c>
      <c r="S24" s="209">
        <v>2</v>
      </c>
      <c r="T24" s="210">
        <v>0</v>
      </c>
      <c r="U24" s="209">
        <v>0</v>
      </c>
      <c r="V24" s="210">
        <v>0</v>
      </c>
      <c r="W24" s="384">
        <f t="shared" si="1"/>
        <v>21</v>
      </c>
      <c r="X24" s="385">
        <f t="shared" si="2"/>
        <v>2</v>
      </c>
      <c r="Y24" s="45">
        <f>'t1'!M24</f>
        <v>23</v>
      </c>
    </row>
    <row r="25" spans="1:25" ht="12.75" customHeight="1" x14ac:dyDescent="0.2">
      <c r="A25" s="129" t="str">
        <f>'t1'!A25</f>
        <v>POS. EC. B3-GUARDIA  FORESTALE 5 A.</v>
      </c>
      <c r="B25" s="195" t="str">
        <f>'t1'!B25</f>
        <v>034561</v>
      </c>
      <c r="C25" s="205">
        <v>0</v>
      </c>
      <c r="D25" s="206">
        <v>0</v>
      </c>
      <c r="E25" s="205">
        <v>0</v>
      </c>
      <c r="F25" s="206">
        <v>0</v>
      </c>
      <c r="G25" s="205">
        <v>4</v>
      </c>
      <c r="H25" s="206">
        <v>3</v>
      </c>
      <c r="I25" s="205">
        <v>0</v>
      </c>
      <c r="J25" s="206">
        <v>0</v>
      </c>
      <c r="K25" s="205">
        <v>0</v>
      </c>
      <c r="L25" s="206">
        <v>0</v>
      </c>
      <c r="M25" s="207">
        <v>5</v>
      </c>
      <c r="N25" s="208">
        <v>2</v>
      </c>
      <c r="O25" s="205">
        <v>7</v>
      </c>
      <c r="P25" s="206">
        <v>3</v>
      </c>
      <c r="Q25" s="205">
        <v>8</v>
      </c>
      <c r="R25" s="206">
        <v>3</v>
      </c>
      <c r="S25" s="209">
        <v>4</v>
      </c>
      <c r="T25" s="210">
        <v>1</v>
      </c>
      <c r="U25" s="209">
        <v>1</v>
      </c>
      <c r="V25" s="210">
        <v>0</v>
      </c>
      <c r="W25" s="384">
        <f t="shared" si="1"/>
        <v>29</v>
      </c>
      <c r="X25" s="385">
        <f t="shared" si="2"/>
        <v>12</v>
      </c>
      <c r="Y25" s="45">
        <f>'t1'!M25</f>
        <v>41</v>
      </c>
    </row>
    <row r="26" spans="1:25" ht="12.75" customHeight="1" x14ac:dyDescent="0.2">
      <c r="A26" s="129" t="str">
        <f>'t1'!A26</f>
        <v>POS. EC. B2-GUARDIA  FORESTALE</v>
      </c>
      <c r="B26" s="195" t="str">
        <f>'t1'!B26</f>
        <v>032561</v>
      </c>
      <c r="C26" s="205">
        <v>11</v>
      </c>
      <c r="D26" s="206">
        <v>7</v>
      </c>
      <c r="E26" s="205">
        <v>2</v>
      </c>
      <c r="F26" s="206">
        <v>3</v>
      </c>
      <c r="G26" s="205">
        <v>0</v>
      </c>
      <c r="H26" s="206">
        <v>0</v>
      </c>
      <c r="I26" s="205">
        <v>1</v>
      </c>
      <c r="J26" s="206">
        <v>0</v>
      </c>
      <c r="K26" s="205">
        <v>0</v>
      </c>
      <c r="L26" s="206">
        <v>0</v>
      </c>
      <c r="M26" s="207">
        <v>0</v>
      </c>
      <c r="N26" s="208">
        <v>0</v>
      </c>
      <c r="O26" s="205">
        <v>0</v>
      </c>
      <c r="P26" s="206">
        <v>0</v>
      </c>
      <c r="Q26" s="205">
        <v>0</v>
      </c>
      <c r="R26" s="206">
        <v>0</v>
      </c>
      <c r="S26" s="209">
        <v>0</v>
      </c>
      <c r="T26" s="210">
        <v>0</v>
      </c>
      <c r="U26" s="209">
        <v>0</v>
      </c>
      <c r="V26" s="210">
        <v>0</v>
      </c>
      <c r="W26" s="384">
        <f t="shared" ref="W26:W33" si="3">SUM(C26,E26,G26,I26,K26,M26,O26,Q26,S26,U26)</f>
        <v>14</v>
      </c>
      <c r="X26" s="385">
        <f t="shared" ref="X26:X33" si="4">SUM(D26,F26,H26,J26,L26,N26,P26,R26,T26,V26)</f>
        <v>10</v>
      </c>
      <c r="Y26" s="45">
        <f>'t1'!M26</f>
        <v>24</v>
      </c>
    </row>
    <row r="27" spans="1:25" ht="12.75" customHeight="1" x14ac:dyDescent="0.2">
      <c r="A27" s="129" t="str">
        <f>'t1'!A27</f>
        <v>POSIZIONE ECONOMICA B1 - FORESTALE</v>
      </c>
      <c r="B27" s="195" t="str">
        <f>'t1'!B27</f>
        <v>030FOR</v>
      </c>
      <c r="C27" s="205">
        <v>0</v>
      </c>
      <c r="D27" s="206">
        <v>0</v>
      </c>
      <c r="E27" s="205">
        <v>0</v>
      </c>
      <c r="F27" s="206">
        <v>0</v>
      </c>
      <c r="G27" s="205">
        <v>0</v>
      </c>
      <c r="H27" s="206">
        <v>0</v>
      </c>
      <c r="I27" s="205">
        <v>0</v>
      </c>
      <c r="J27" s="206">
        <v>0</v>
      </c>
      <c r="K27" s="205">
        <v>0</v>
      </c>
      <c r="L27" s="206">
        <v>0</v>
      </c>
      <c r="M27" s="207">
        <v>0</v>
      </c>
      <c r="N27" s="208">
        <v>0</v>
      </c>
      <c r="O27" s="205">
        <v>0</v>
      </c>
      <c r="P27" s="206">
        <v>0</v>
      </c>
      <c r="Q27" s="205">
        <v>0</v>
      </c>
      <c r="R27" s="206">
        <v>0</v>
      </c>
      <c r="S27" s="209">
        <v>0</v>
      </c>
      <c r="T27" s="210">
        <v>0</v>
      </c>
      <c r="U27" s="209">
        <v>0</v>
      </c>
      <c r="V27" s="210">
        <v>0</v>
      </c>
      <c r="W27" s="384">
        <f t="shared" si="3"/>
        <v>0</v>
      </c>
      <c r="X27" s="385">
        <f t="shared" si="4"/>
        <v>0</v>
      </c>
      <c r="Y27" s="45">
        <f>'t1'!M27</f>
        <v>0</v>
      </c>
    </row>
    <row r="28" spans="1:25" ht="12.75" customHeight="1" x14ac:dyDescent="0.2">
      <c r="A28" s="129" t="str">
        <f>'t1'!A28</f>
        <v>POSIZIONE ECONOMICA B3  VIGILE DEL FUOCO &gt; 5 ANNI</v>
      </c>
      <c r="B28" s="195" t="str">
        <f>'t1'!B28</f>
        <v>034VF5</v>
      </c>
      <c r="C28" s="205">
        <v>0</v>
      </c>
      <c r="D28" s="206">
        <v>0</v>
      </c>
      <c r="E28" s="205">
        <v>8</v>
      </c>
      <c r="F28" s="206">
        <v>0</v>
      </c>
      <c r="G28" s="205">
        <v>11</v>
      </c>
      <c r="H28" s="206">
        <v>0</v>
      </c>
      <c r="I28" s="205">
        <v>23</v>
      </c>
      <c r="J28" s="206">
        <v>0</v>
      </c>
      <c r="K28" s="205">
        <v>52</v>
      </c>
      <c r="L28" s="206">
        <v>0</v>
      </c>
      <c r="M28" s="207">
        <v>3</v>
      </c>
      <c r="N28" s="208">
        <v>0</v>
      </c>
      <c r="O28" s="205">
        <v>2</v>
      </c>
      <c r="P28" s="206">
        <v>0</v>
      </c>
      <c r="Q28" s="205">
        <v>0</v>
      </c>
      <c r="R28" s="206">
        <v>0</v>
      </c>
      <c r="S28" s="209">
        <v>0</v>
      </c>
      <c r="T28" s="210">
        <v>0</v>
      </c>
      <c r="U28" s="209">
        <v>0</v>
      </c>
      <c r="V28" s="210">
        <v>0</v>
      </c>
      <c r="W28" s="384">
        <f t="shared" si="3"/>
        <v>99</v>
      </c>
      <c r="X28" s="385">
        <f t="shared" si="4"/>
        <v>0</v>
      </c>
      <c r="Y28" s="45">
        <f>'t1'!M28</f>
        <v>99</v>
      </c>
    </row>
    <row r="29" spans="1:25" ht="12.75" customHeight="1" x14ac:dyDescent="0.2">
      <c r="A29" s="129" t="str">
        <f>'t1'!A29</f>
        <v>POSIZIONE ECONOMICA B2  VIGILE DEL FUOCO</v>
      </c>
      <c r="B29" s="195" t="str">
        <f>'t1'!B29</f>
        <v>032VF1</v>
      </c>
      <c r="C29" s="205">
        <v>14</v>
      </c>
      <c r="D29" s="206">
        <v>0</v>
      </c>
      <c r="E29" s="205">
        <v>0</v>
      </c>
      <c r="F29" s="206">
        <v>0</v>
      </c>
      <c r="G29" s="205">
        <v>3</v>
      </c>
      <c r="H29" s="206">
        <v>0</v>
      </c>
      <c r="I29" s="205">
        <v>1</v>
      </c>
      <c r="J29" s="206">
        <v>0</v>
      </c>
      <c r="K29" s="205">
        <v>1</v>
      </c>
      <c r="L29" s="206">
        <v>0</v>
      </c>
      <c r="M29" s="207">
        <v>0</v>
      </c>
      <c r="N29" s="208">
        <v>0</v>
      </c>
      <c r="O29" s="205">
        <v>0</v>
      </c>
      <c r="P29" s="206">
        <v>0</v>
      </c>
      <c r="Q29" s="205">
        <v>0</v>
      </c>
      <c r="R29" s="206">
        <v>0</v>
      </c>
      <c r="S29" s="209">
        <v>0</v>
      </c>
      <c r="T29" s="210">
        <v>0</v>
      </c>
      <c r="U29" s="209">
        <v>0</v>
      </c>
      <c r="V29" s="210">
        <v>0</v>
      </c>
      <c r="W29" s="384">
        <f t="shared" si="3"/>
        <v>19</v>
      </c>
      <c r="X29" s="385">
        <f t="shared" si="4"/>
        <v>0</v>
      </c>
      <c r="Y29" s="45">
        <f>'t1'!M29</f>
        <v>19</v>
      </c>
    </row>
    <row r="30" spans="1:25" ht="12.75" customHeight="1" x14ac:dyDescent="0.2">
      <c r="A30" s="129" t="str">
        <f>'t1'!A30</f>
        <v>POSIZIONE ECONOMICA A</v>
      </c>
      <c r="B30" s="195" t="str">
        <f>'t1'!B30</f>
        <v>022000</v>
      </c>
      <c r="C30" s="205">
        <v>23</v>
      </c>
      <c r="D30" s="206">
        <v>46</v>
      </c>
      <c r="E30" s="205">
        <v>6</v>
      </c>
      <c r="F30" s="206">
        <v>4</v>
      </c>
      <c r="G30" s="205">
        <v>0</v>
      </c>
      <c r="H30" s="206">
        <v>9</v>
      </c>
      <c r="I30" s="205">
        <v>1</v>
      </c>
      <c r="J30" s="206">
        <v>24</v>
      </c>
      <c r="K30" s="205">
        <v>1</v>
      </c>
      <c r="L30" s="206">
        <v>40</v>
      </c>
      <c r="M30" s="207">
        <v>2</v>
      </c>
      <c r="N30" s="208">
        <v>10</v>
      </c>
      <c r="O30" s="205">
        <v>3</v>
      </c>
      <c r="P30" s="206">
        <v>22</v>
      </c>
      <c r="Q30" s="205">
        <v>4</v>
      </c>
      <c r="R30" s="206">
        <v>21</v>
      </c>
      <c r="S30" s="209">
        <v>0</v>
      </c>
      <c r="T30" s="210">
        <v>3</v>
      </c>
      <c r="U30" s="209">
        <v>0</v>
      </c>
      <c r="V30" s="210">
        <v>1</v>
      </c>
      <c r="W30" s="384">
        <f t="shared" si="3"/>
        <v>40</v>
      </c>
      <c r="X30" s="385">
        <f t="shared" si="4"/>
        <v>180</v>
      </c>
      <c r="Y30" s="45">
        <f>'t1'!M30</f>
        <v>220</v>
      </c>
    </row>
    <row r="31" spans="1:25" ht="12.75" customHeight="1" x14ac:dyDescent="0.2">
      <c r="A31" s="129" t="str">
        <f>'t1'!A31</f>
        <v>CONTRATTISTI</v>
      </c>
      <c r="B31" s="195" t="str">
        <f>'t1'!B31</f>
        <v>000061</v>
      </c>
      <c r="C31" s="205">
        <v>31</v>
      </c>
      <c r="D31" s="206">
        <v>3</v>
      </c>
      <c r="E31" s="205">
        <v>0</v>
      </c>
      <c r="F31" s="206">
        <v>0</v>
      </c>
      <c r="G31" s="205">
        <v>0</v>
      </c>
      <c r="H31" s="206">
        <v>1</v>
      </c>
      <c r="I31" s="205">
        <v>3</v>
      </c>
      <c r="J31" s="206">
        <v>0</v>
      </c>
      <c r="K31" s="205">
        <v>17</v>
      </c>
      <c r="L31" s="206">
        <v>17</v>
      </c>
      <c r="M31" s="207">
        <v>30</v>
      </c>
      <c r="N31" s="208">
        <v>8</v>
      </c>
      <c r="O31" s="205">
        <v>12</v>
      </c>
      <c r="P31" s="206">
        <v>2</v>
      </c>
      <c r="Q31" s="205">
        <f>3+1</f>
        <v>4</v>
      </c>
      <c r="R31" s="206">
        <v>0</v>
      </c>
      <c r="S31" s="209">
        <v>0</v>
      </c>
      <c r="T31" s="210">
        <v>0</v>
      </c>
      <c r="U31" s="209">
        <v>0</v>
      </c>
      <c r="V31" s="210">
        <v>0</v>
      </c>
      <c r="W31" s="384">
        <f t="shared" si="3"/>
        <v>97</v>
      </c>
      <c r="X31" s="385">
        <f t="shared" si="4"/>
        <v>31</v>
      </c>
      <c r="Y31" s="45">
        <f>'t1'!M31</f>
        <v>128</v>
      </c>
    </row>
    <row r="32" spans="1:25" ht="12.75" customHeight="1" x14ac:dyDescent="0.2">
      <c r="A32" s="129" t="str">
        <f>'t1'!A32</f>
        <v>SEGRETARIO GENERALE CCIAA</v>
      </c>
      <c r="B32" s="195" t="str">
        <f>'t1'!B32</f>
        <v>0D0104</v>
      </c>
      <c r="C32" s="205">
        <v>0</v>
      </c>
      <c r="D32" s="206">
        <v>0</v>
      </c>
      <c r="E32" s="205">
        <v>0</v>
      </c>
      <c r="F32" s="206">
        <v>0</v>
      </c>
      <c r="G32" s="205">
        <v>0</v>
      </c>
      <c r="H32" s="206">
        <v>0</v>
      </c>
      <c r="I32" s="205">
        <v>0</v>
      </c>
      <c r="J32" s="206">
        <v>0</v>
      </c>
      <c r="K32" s="205">
        <v>0</v>
      </c>
      <c r="L32" s="206">
        <v>0</v>
      </c>
      <c r="M32" s="207">
        <v>0</v>
      </c>
      <c r="N32" s="208">
        <v>0</v>
      </c>
      <c r="O32" s="205">
        <v>0</v>
      </c>
      <c r="P32" s="206">
        <v>0</v>
      </c>
      <c r="Q32" s="205">
        <v>0</v>
      </c>
      <c r="R32" s="206">
        <v>0</v>
      </c>
      <c r="S32" s="209">
        <v>0</v>
      </c>
      <c r="T32" s="210">
        <v>0</v>
      </c>
      <c r="U32" s="209">
        <v>0</v>
      </c>
      <c r="V32" s="210">
        <v>0</v>
      </c>
      <c r="W32" s="384">
        <f t="shared" si="3"/>
        <v>0</v>
      </c>
      <c r="X32" s="385">
        <f t="shared" si="4"/>
        <v>0</v>
      </c>
      <c r="Y32" s="45">
        <f>'t1'!M32</f>
        <v>0</v>
      </c>
    </row>
    <row r="33" spans="1:25" ht="12.75" customHeight="1" thickBot="1" x14ac:dyDescent="0.25">
      <c r="A33" s="129" t="str">
        <f>'t1'!A33</f>
        <v>COLLABORATORE A TEMPO DETERMINATO</v>
      </c>
      <c r="B33" s="195" t="str">
        <f>'t1'!B33</f>
        <v>000096</v>
      </c>
      <c r="C33" s="205">
        <v>3</v>
      </c>
      <c r="D33" s="206">
        <v>4</v>
      </c>
      <c r="E33" s="205">
        <v>1</v>
      </c>
      <c r="F33" s="206">
        <v>2</v>
      </c>
      <c r="G33" s="205">
        <v>1</v>
      </c>
      <c r="H33" s="206">
        <v>0</v>
      </c>
      <c r="I33" s="205">
        <v>0</v>
      </c>
      <c r="J33" s="206">
        <v>0</v>
      </c>
      <c r="K33" s="205">
        <v>0</v>
      </c>
      <c r="L33" s="206">
        <v>0</v>
      </c>
      <c r="M33" s="207">
        <v>0</v>
      </c>
      <c r="N33" s="208">
        <v>0</v>
      </c>
      <c r="O33" s="205">
        <v>0</v>
      </c>
      <c r="P33" s="206">
        <v>0</v>
      </c>
      <c r="Q33" s="205">
        <v>0</v>
      </c>
      <c r="R33" s="206">
        <v>0</v>
      </c>
      <c r="S33" s="209">
        <v>0</v>
      </c>
      <c r="T33" s="210">
        <v>0</v>
      </c>
      <c r="U33" s="209">
        <v>0</v>
      </c>
      <c r="V33" s="210">
        <v>0</v>
      </c>
      <c r="W33" s="384">
        <f t="shared" si="3"/>
        <v>5</v>
      </c>
      <c r="X33" s="385">
        <f t="shared" si="4"/>
        <v>6</v>
      </c>
      <c r="Y33" s="45">
        <f>'t1'!M33</f>
        <v>11</v>
      </c>
    </row>
    <row r="34" spans="1:25" ht="17.25" customHeight="1" thickTop="1" thickBot="1" x14ac:dyDescent="0.25">
      <c r="A34" s="59" t="s">
        <v>71</v>
      </c>
      <c r="B34" s="60"/>
      <c r="C34" s="381">
        <f t="shared" ref="C34:X34" si="5">SUM(C6:C33)</f>
        <v>189</v>
      </c>
      <c r="D34" s="382">
        <f t="shared" si="5"/>
        <v>245</v>
      </c>
      <c r="E34" s="381">
        <f t="shared" si="5"/>
        <v>102</v>
      </c>
      <c r="F34" s="382">
        <f t="shared" si="5"/>
        <v>79</v>
      </c>
      <c r="G34" s="381">
        <f t="shared" si="5"/>
        <v>60</v>
      </c>
      <c r="H34" s="382">
        <f t="shared" si="5"/>
        <v>86</v>
      </c>
      <c r="I34" s="381">
        <f t="shared" si="5"/>
        <v>89</v>
      </c>
      <c r="J34" s="382">
        <f t="shared" si="5"/>
        <v>106</v>
      </c>
      <c r="K34" s="381">
        <f t="shared" si="5"/>
        <v>184</v>
      </c>
      <c r="L34" s="382">
        <f t="shared" si="5"/>
        <v>182</v>
      </c>
      <c r="M34" s="381">
        <f t="shared" si="5"/>
        <v>169</v>
      </c>
      <c r="N34" s="382">
        <f t="shared" si="5"/>
        <v>173</v>
      </c>
      <c r="O34" s="381">
        <f t="shared" si="5"/>
        <v>147</v>
      </c>
      <c r="P34" s="382">
        <f t="shared" si="5"/>
        <v>262</v>
      </c>
      <c r="Q34" s="381">
        <f t="shared" si="5"/>
        <v>131</v>
      </c>
      <c r="R34" s="382">
        <f t="shared" si="5"/>
        <v>261</v>
      </c>
      <c r="S34" s="381">
        <f t="shared" si="5"/>
        <v>29</v>
      </c>
      <c r="T34" s="382">
        <f t="shared" si="5"/>
        <v>56</v>
      </c>
      <c r="U34" s="381">
        <f t="shared" si="5"/>
        <v>4</v>
      </c>
      <c r="V34" s="382">
        <f t="shared" si="5"/>
        <v>9</v>
      </c>
      <c r="W34" s="381">
        <f t="shared" si="5"/>
        <v>1104</v>
      </c>
      <c r="X34" s="383">
        <f t="shared" si="5"/>
        <v>1459</v>
      </c>
      <c r="Y34" s="45">
        <f>'t1'!M34</f>
        <v>0</v>
      </c>
    </row>
    <row r="35" spans="1:25" s="30" customFormat="1" ht="19.5" customHeight="1" x14ac:dyDescent="0.2">
      <c r="A35" s="17" t="str">
        <f>'t1'!$A$35</f>
        <v>(a) personale a tempo indeterminato al quale viene applicato un contratto di lavoro di tipo privatistico (es.:tipografico,chimico,edile,metalmeccanico,portierato, ecc.)</v>
      </c>
      <c r="B35" s="2"/>
      <c r="C35" s="3"/>
      <c r="D35" s="3"/>
      <c r="E35" s="3"/>
      <c r="F35" s="3"/>
      <c r="G35" s="3"/>
      <c r="H35" s="3"/>
      <c r="I35" s="3"/>
      <c r="J35" s="3"/>
      <c r="K35" s="63"/>
      <c r="Y35" s="45">
        <f>'t1'!M35</f>
        <v>0</v>
      </c>
    </row>
    <row r="36" spans="1:25" s="3" customFormat="1" x14ac:dyDescent="0.2">
      <c r="A36" s="17" t="str">
        <f>'t1'!$A$36</f>
        <v>(b) cfr." istruzioni generali e specifiche di comparto" e "glossario"</v>
      </c>
      <c r="B36" s="2"/>
      <c r="Y36" s="45">
        <f>'t1'!M36</f>
        <v>0</v>
      </c>
    </row>
  </sheetData>
  <sheetProtection password="DD41" sheet="1" formatColumns="0" selectLockedCells="1"/>
  <mergeCells count="12">
    <mergeCell ref="O4:P4"/>
    <mergeCell ref="Q4:R4"/>
    <mergeCell ref="A1:V1"/>
    <mergeCell ref="C4:D4"/>
    <mergeCell ref="E4:F4"/>
    <mergeCell ref="G4:H4"/>
    <mergeCell ref="I4:J4"/>
    <mergeCell ref="P2:X2"/>
    <mergeCell ref="U4:V4"/>
    <mergeCell ref="K4:L4"/>
    <mergeCell ref="S4:T4"/>
    <mergeCell ref="M4:N4"/>
  </mergeCells>
  <phoneticPr fontId="30" type="noConversion"/>
  <conditionalFormatting sqref="A6:X33">
    <cfRule type="expression" dxfId="27" priority="1" stopIfTrue="1">
      <formula>$Y6&gt;0</formula>
    </cfRule>
  </conditionalFormatting>
  <printOptions horizontalCentered="1" verticalCentered="1"/>
  <pageMargins left="0" right="0" top="0.19685039370078741" bottom="0.17" header="0.18" footer="0.2"/>
  <pageSetup paperSize="9" scale="77"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5">
    <pageSetUpPr fitToPage="1"/>
  </sheetPr>
  <dimension ref="A1:AC37"/>
  <sheetViews>
    <sheetView showGridLines="0" zoomScale="85" workbookViewId="0">
      <pane xSplit="2" ySplit="5" topLeftCell="C6" activePane="bottomRight" state="frozen"/>
      <selection activeCell="A2" sqref="A2"/>
      <selection pane="topRight" activeCell="A2" sqref="A2"/>
      <selection pane="bottomLeft" activeCell="A2" sqref="A2"/>
      <selection pane="bottomRight" activeCell="Y31" sqref="Y31"/>
    </sheetView>
  </sheetViews>
  <sheetFormatPr defaultColWidth="10.6640625" defaultRowHeight="11.25" x14ac:dyDescent="0.2"/>
  <cols>
    <col min="1" max="1" width="46.6640625" style="30" customWidth="1"/>
    <col min="2" max="2" width="8.1640625" style="32" bestFit="1" customWidth="1"/>
    <col min="3" max="4" width="6.6640625" style="30" customWidth="1"/>
    <col min="5" max="24" width="8" style="30" customWidth="1"/>
    <col min="25" max="26" width="6.5" style="30" customWidth="1"/>
    <col min="27" max="28" width="8.1640625" style="30" customWidth="1"/>
    <col min="29" max="29" width="10.6640625" style="30" hidden="1" customWidth="1"/>
    <col min="30" max="16384" width="10.6640625" style="30"/>
  </cols>
  <sheetData>
    <row r="1" spans="1:29" s="3" customFormat="1" ht="43.5" customHeight="1" x14ac:dyDescent="0.2">
      <c r="A1" s="1486" t="str">
        <f>'t1'!A1</f>
        <v>REGIONE VALLE D'AOSTA - anno 2024</v>
      </c>
      <c r="B1" s="1486"/>
      <c r="C1" s="1486"/>
      <c r="D1" s="1486"/>
      <c r="E1" s="1486"/>
      <c r="F1" s="1486"/>
      <c r="G1" s="1486"/>
      <c r="H1" s="1486"/>
      <c r="I1" s="1486"/>
      <c r="J1" s="1486"/>
      <c r="K1" s="1486"/>
      <c r="L1" s="1486"/>
      <c r="M1" s="1486"/>
      <c r="N1" s="1486"/>
      <c r="O1" s="1486"/>
      <c r="P1" s="1486"/>
      <c r="Q1" s="1486"/>
      <c r="R1" s="1486"/>
      <c r="S1" s="1486"/>
      <c r="T1" s="1486"/>
      <c r="U1" s="1486"/>
      <c r="V1" s="1486"/>
      <c r="W1" s="1486"/>
      <c r="X1" s="1486"/>
      <c r="Y1" s="1486"/>
      <c r="AB1" s="270"/>
    </row>
    <row r="2" spans="1:29" ht="30" customHeight="1" thickBot="1" x14ac:dyDescent="0.25">
      <c r="A2" s="31"/>
      <c r="S2" s="1487"/>
      <c r="T2" s="1487"/>
      <c r="U2" s="1487"/>
      <c r="V2" s="1487"/>
      <c r="W2" s="1487"/>
      <c r="X2" s="1487"/>
      <c r="Y2" s="1487"/>
      <c r="Z2" s="1487"/>
      <c r="AA2" s="1487"/>
      <c r="AB2" s="1487"/>
    </row>
    <row r="3" spans="1:29" ht="16.5" customHeight="1" thickBot="1" x14ac:dyDescent="0.25">
      <c r="A3" s="33"/>
      <c r="B3" s="34"/>
      <c r="C3" s="35" t="s">
        <v>247</v>
      </c>
      <c r="D3" s="36"/>
      <c r="E3" s="36"/>
      <c r="F3" s="36"/>
      <c r="G3" s="36"/>
      <c r="H3" s="36"/>
      <c r="I3" s="36"/>
      <c r="J3" s="36"/>
      <c r="K3" s="36"/>
      <c r="L3" s="36"/>
      <c r="M3" s="36"/>
      <c r="N3" s="36"/>
      <c r="O3" s="36"/>
      <c r="P3" s="36"/>
      <c r="Q3" s="36"/>
      <c r="R3" s="36"/>
      <c r="S3" s="36"/>
      <c r="T3" s="36"/>
      <c r="U3" s="36"/>
      <c r="V3" s="36"/>
      <c r="W3" s="36"/>
      <c r="X3" s="37"/>
      <c r="Y3" s="36"/>
      <c r="Z3" s="37"/>
      <c r="AA3" s="36"/>
      <c r="AB3" s="37"/>
    </row>
    <row r="4" spans="1:29" ht="16.5" customHeight="1" thickTop="1" x14ac:dyDescent="0.2">
      <c r="A4" s="238" t="s">
        <v>140</v>
      </c>
      <c r="B4" s="38" t="s">
        <v>68</v>
      </c>
      <c r="C4" s="1518" t="s">
        <v>173</v>
      </c>
      <c r="D4" s="1520"/>
      <c r="E4" s="139" t="s">
        <v>174</v>
      </c>
      <c r="F4" s="138"/>
      <c r="G4" s="1518" t="s">
        <v>78</v>
      </c>
      <c r="H4" s="1520"/>
      <c r="I4" s="1518" t="s">
        <v>79</v>
      </c>
      <c r="J4" s="1520"/>
      <c r="K4" s="1518" t="s">
        <v>80</v>
      </c>
      <c r="L4" s="1520"/>
      <c r="M4" s="1518" t="s">
        <v>81</v>
      </c>
      <c r="N4" s="1520"/>
      <c r="O4" s="1518" t="s">
        <v>82</v>
      </c>
      <c r="P4" s="1520"/>
      <c r="Q4" s="1518" t="s">
        <v>83</v>
      </c>
      <c r="R4" s="1520"/>
      <c r="S4" s="1518" t="s">
        <v>84</v>
      </c>
      <c r="T4" s="1520"/>
      <c r="U4" s="1518" t="s">
        <v>85</v>
      </c>
      <c r="V4" s="1520"/>
      <c r="W4" s="1518" t="s">
        <v>449</v>
      </c>
      <c r="X4" s="1520"/>
      <c r="Y4" s="1518" t="s">
        <v>450</v>
      </c>
      <c r="Z4" s="1519"/>
      <c r="AA4" s="1518" t="s">
        <v>71</v>
      </c>
      <c r="AB4" s="1519"/>
    </row>
    <row r="5" spans="1:29" ht="12" thickBot="1" x14ac:dyDescent="0.25">
      <c r="A5" s="748" t="s">
        <v>635</v>
      </c>
      <c r="B5" s="39"/>
      <c r="C5" s="40" t="s">
        <v>86</v>
      </c>
      <c r="D5" s="41" t="s">
        <v>87</v>
      </c>
      <c r="E5" s="40" t="s">
        <v>86</v>
      </c>
      <c r="F5" s="41" t="s">
        <v>87</v>
      </c>
      <c r="G5" s="40" t="s">
        <v>86</v>
      </c>
      <c r="H5" s="41" t="s">
        <v>87</v>
      </c>
      <c r="I5" s="40" t="s">
        <v>86</v>
      </c>
      <c r="J5" s="41" t="s">
        <v>87</v>
      </c>
      <c r="K5" s="40" t="s">
        <v>86</v>
      </c>
      <c r="L5" s="41" t="s">
        <v>87</v>
      </c>
      <c r="M5" s="40" t="s">
        <v>86</v>
      </c>
      <c r="N5" s="41" t="s">
        <v>87</v>
      </c>
      <c r="O5" s="40" t="s">
        <v>86</v>
      </c>
      <c r="P5" s="41" t="s">
        <v>87</v>
      </c>
      <c r="Q5" s="40" t="s">
        <v>86</v>
      </c>
      <c r="R5" s="41" t="s">
        <v>87</v>
      </c>
      <c r="S5" s="40" t="s">
        <v>86</v>
      </c>
      <c r="T5" s="41" t="s">
        <v>87</v>
      </c>
      <c r="U5" s="40" t="s">
        <v>86</v>
      </c>
      <c r="V5" s="41" t="s">
        <v>87</v>
      </c>
      <c r="W5" s="40" t="s">
        <v>86</v>
      </c>
      <c r="X5" s="42" t="s">
        <v>87</v>
      </c>
      <c r="Y5" s="40" t="s">
        <v>86</v>
      </c>
      <c r="Z5" s="42" t="s">
        <v>87</v>
      </c>
      <c r="AA5" s="40" t="s">
        <v>86</v>
      </c>
      <c r="AB5" s="42" t="s">
        <v>87</v>
      </c>
    </row>
    <row r="6" spans="1:29" ht="14.1" customHeight="1" thickTop="1" x14ac:dyDescent="0.2">
      <c r="A6" s="129" t="str">
        <f>'t1'!A6</f>
        <v>SEGRETARIO I FASCIA</v>
      </c>
      <c r="B6" s="195" t="str">
        <f>'t1'!B6</f>
        <v>0D0102</v>
      </c>
      <c r="C6" s="221">
        <v>0</v>
      </c>
      <c r="D6" s="222">
        <v>0</v>
      </c>
      <c r="E6" s="223">
        <v>0</v>
      </c>
      <c r="F6" s="222">
        <v>0</v>
      </c>
      <c r="G6" s="221">
        <v>0</v>
      </c>
      <c r="H6" s="222">
        <v>0</v>
      </c>
      <c r="I6" s="221">
        <v>0</v>
      </c>
      <c r="J6" s="222">
        <v>0</v>
      </c>
      <c r="K6" s="221">
        <v>0</v>
      </c>
      <c r="L6" s="222">
        <v>0</v>
      </c>
      <c r="M6" s="221">
        <v>0</v>
      </c>
      <c r="N6" s="222">
        <v>0</v>
      </c>
      <c r="O6" s="223">
        <v>0</v>
      </c>
      <c r="P6" s="224">
        <v>0</v>
      </c>
      <c r="Q6" s="221">
        <v>0</v>
      </c>
      <c r="R6" s="222">
        <v>0</v>
      </c>
      <c r="S6" s="221">
        <v>0</v>
      </c>
      <c r="T6" s="222">
        <v>0</v>
      </c>
      <c r="U6" s="221">
        <v>0</v>
      </c>
      <c r="V6" s="222">
        <v>0</v>
      </c>
      <c r="W6" s="225">
        <v>0</v>
      </c>
      <c r="X6" s="222">
        <v>0</v>
      </c>
      <c r="Y6" s="225">
        <v>0</v>
      </c>
      <c r="Z6" s="222">
        <v>0</v>
      </c>
      <c r="AA6" s="386">
        <f t="shared" ref="AA6:AB9" si="0">SUM(C6,E6,G6,I6,K6,M6,O6,Q6,S6,U6,W6,Y6)</f>
        <v>0</v>
      </c>
      <c r="AB6" s="387">
        <f t="shared" si="0"/>
        <v>0</v>
      </c>
      <c r="AC6" s="30">
        <f>'t1'!M6</f>
        <v>0</v>
      </c>
    </row>
    <row r="7" spans="1:29" ht="14.1" customHeight="1" x14ac:dyDescent="0.2">
      <c r="A7" s="129" t="str">
        <f>'t1'!A7</f>
        <v>SEGRETARIO II FASCIA</v>
      </c>
      <c r="B7" s="195" t="str">
        <f>'t1'!B7</f>
        <v>0D0103</v>
      </c>
      <c r="C7" s="221">
        <v>0</v>
      </c>
      <c r="D7" s="222">
        <v>0</v>
      </c>
      <c r="E7" s="223">
        <v>0</v>
      </c>
      <c r="F7" s="222">
        <v>0</v>
      </c>
      <c r="G7" s="221">
        <v>0</v>
      </c>
      <c r="H7" s="222">
        <v>0</v>
      </c>
      <c r="I7" s="221">
        <v>0</v>
      </c>
      <c r="J7" s="222">
        <v>0</v>
      </c>
      <c r="K7" s="221">
        <v>0</v>
      </c>
      <c r="L7" s="222">
        <v>0</v>
      </c>
      <c r="M7" s="221">
        <v>0</v>
      </c>
      <c r="N7" s="222">
        <v>0</v>
      </c>
      <c r="O7" s="223">
        <v>0</v>
      </c>
      <c r="P7" s="224">
        <v>0</v>
      </c>
      <c r="Q7" s="221">
        <v>0</v>
      </c>
      <c r="R7" s="222">
        <v>0</v>
      </c>
      <c r="S7" s="221">
        <v>0</v>
      </c>
      <c r="T7" s="222">
        <v>0</v>
      </c>
      <c r="U7" s="221">
        <v>0</v>
      </c>
      <c r="V7" s="222">
        <v>0</v>
      </c>
      <c r="W7" s="225">
        <v>0</v>
      </c>
      <c r="X7" s="222">
        <v>0</v>
      </c>
      <c r="Y7" s="225">
        <v>0</v>
      </c>
      <c r="Z7" s="222">
        <v>0</v>
      </c>
      <c r="AA7" s="386">
        <f t="shared" si="0"/>
        <v>0</v>
      </c>
      <c r="AB7" s="387">
        <f t="shared" si="0"/>
        <v>0</v>
      </c>
      <c r="AC7" s="30">
        <f>'t1'!M7</f>
        <v>0</v>
      </c>
    </row>
    <row r="8" spans="1:29" ht="14.1" customHeight="1" x14ac:dyDescent="0.2">
      <c r="A8" s="129" t="str">
        <f>'t1'!A8</f>
        <v>SEGRETARIO III FASCIA</v>
      </c>
      <c r="B8" s="195" t="str">
        <f>'t1'!B8</f>
        <v>0D0485</v>
      </c>
      <c r="C8" s="221">
        <v>0</v>
      </c>
      <c r="D8" s="222">
        <v>0</v>
      </c>
      <c r="E8" s="223">
        <v>0</v>
      </c>
      <c r="F8" s="222">
        <v>0</v>
      </c>
      <c r="G8" s="221">
        <v>0</v>
      </c>
      <c r="H8" s="222">
        <v>0</v>
      </c>
      <c r="I8" s="221">
        <v>0</v>
      </c>
      <c r="J8" s="222">
        <v>0</v>
      </c>
      <c r="K8" s="221">
        <v>0</v>
      </c>
      <c r="L8" s="222">
        <v>0</v>
      </c>
      <c r="M8" s="221">
        <v>0</v>
      </c>
      <c r="N8" s="222">
        <v>0</v>
      </c>
      <c r="O8" s="223">
        <v>0</v>
      </c>
      <c r="P8" s="224">
        <v>0</v>
      </c>
      <c r="Q8" s="221">
        <v>0</v>
      </c>
      <c r="R8" s="222">
        <v>0</v>
      </c>
      <c r="S8" s="221">
        <v>0</v>
      </c>
      <c r="T8" s="222">
        <v>0</v>
      </c>
      <c r="U8" s="221">
        <v>0</v>
      </c>
      <c r="V8" s="222">
        <v>0</v>
      </c>
      <c r="W8" s="225">
        <v>0</v>
      </c>
      <c r="X8" s="222">
        <v>0</v>
      </c>
      <c r="Y8" s="225">
        <v>0</v>
      </c>
      <c r="Z8" s="222">
        <v>0</v>
      </c>
      <c r="AA8" s="386">
        <f t="shared" si="0"/>
        <v>0</v>
      </c>
      <c r="AB8" s="387">
        <f t="shared" si="0"/>
        <v>0</v>
      </c>
      <c r="AC8" s="30">
        <f>'t1'!M8</f>
        <v>0</v>
      </c>
    </row>
    <row r="9" spans="1:29" ht="14.1" customHeight="1" x14ac:dyDescent="0.2">
      <c r="A9" s="129" t="str">
        <f>'t1'!A9</f>
        <v>DIRIGENTI</v>
      </c>
      <c r="B9" s="195" t="str">
        <f>'t1'!B9</f>
        <v>0D0164</v>
      </c>
      <c r="C9" s="221">
        <v>0</v>
      </c>
      <c r="D9" s="222">
        <v>0</v>
      </c>
      <c r="E9" s="223">
        <v>0</v>
      </c>
      <c r="F9" s="222">
        <v>0</v>
      </c>
      <c r="G9" s="221">
        <v>0</v>
      </c>
      <c r="H9" s="222">
        <v>0</v>
      </c>
      <c r="I9" s="221">
        <v>0</v>
      </c>
      <c r="J9" s="222">
        <v>2</v>
      </c>
      <c r="K9" s="221">
        <v>1</v>
      </c>
      <c r="L9" s="222">
        <v>2</v>
      </c>
      <c r="M9" s="221">
        <v>2</v>
      </c>
      <c r="N9" s="222">
        <v>2</v>
      </c>
      <c r="O9" s="223">
        <v>4</v>
      </c>
      <c r="P9" s="224">
        <v>7</v>
      </c>
      <c r="Q9" s="221">
        <v>16</v>
      </c>
      <c r="R9" s="222">
        <v>11</v>
      </c>
      <c r="S9" s="221">
        <v>26</v>
      </c>
      <c r="T9" s="222">
        <v>14</v>
      </c>
      <c r="U9" s="221">
        <v>11</v>
      </c>
      <c r="V9" s="222">
        <v>9</v>
      </c>
      <c r="W9" s="225">
        <v>5</v>
      </c>
      <c r="X9" s="222">
        <v>0</v>
      </c>
      <c r="Y9" s="225">
        <v>0</v>
      </c>
      <c r="Z9" s="222">
        <v>0</v>
      </c>
      <c r="AA9" s="386">
        <f t="shared" si="0"/>
        <v>65</v>
      </c>
      <c r="AB9" s="387">
        <f t="shared" si="0"/>
        <v>47</v>
      </c>
      <c r="AC9" s="30">
        <f>'t1'!M9</f>
        <v>112</v>
      </c>
    </row>
    <row r="10" spans="1:29" ht="14.1" customHeight="1" x14ac:dyDescent="0.2">
      <c r="A10" s="129" t="str">
        <f>'t1'!A10</f>
        <v>POSIZIONE ECONOMICA D</v>
      </c>
      <c r="B10" s="195" t="str">
        <f>'t1'!B10</f>
        <v>047000</v>
      </c>
      <c r="C10" s="221">
        <v>0</v>
      </c>
      <c r="D10" s="222">
        <v>0</v>
      </c>
      <c r="E10" s="223">
        <v>0</v>
      </c>
      <c r="F10" s="222">
        <v>0</v>
      </c>
      <c r="G10" s="221">
        <v>2</v>
      </c>
      <c r="H10" s="222">
        <v>10</v>
      </c>
      <c r="I10" s="221">
        <v>11</v>
      </c>
      <c r="J10" s="222">
        <v>25</v>
      </c>
      <c r="K10" s="221">
        <v>12</v>
      </c>
      <c r="L10" s="222">
        <v>29</v>
      </c>
      <c r="M10" s="221">
        <v>16</v>
      </c>
      <c r="N10" s="222">
        <v>39</v>
      </c>
      <c r="O10" s="223">
        <v>26</v>
      </c>
      <c r="P10" s="224">
        <v>47</v>
      </c>
      <c r="Q10" s="221">
        <v>30</v>
      </c>
      <c r="R10" s="222">
        <v>78</v>
      </c>
      <c r="S10" s="221">
        <v>36</v>
      </c>
      <c r="T10" s="222">
        <v>58</v>
      </c>
      <c r="U10" s="221">
        <v>16</v>
      </c>
      <c r="V10" s="222">
        <v>21</v>
      </c>
      <c r="W10" s="225">
        <v>1</v>
      </c>
      <c r="X10" s="222">
        <v>3</v>
      </c>
      <c r="Y10" s="225">
        <v>0</v>
      </c>
      <c r="Z10" s="222">
        <v>0</v>
      </c>
      <c r="AA10" s="386">
        <f t="shared" ref="AA10:AA25" si="1">SUM(C10,E10,G10,I10,K10,M10,O10,Q10,S10,U10,W10,Y10)</f>
        <v>150</v>
      </c>
      <c r="AB10" s="387">
        <f t="shared" ref="AB10:AB25" si="2">SUM(D10,F10,H10,J10,L10,N10,P10,R10,T10,V10,X10,Z10)</f>
        <v>310</v>
      </c>
      <c r="AC10" s="30">
        <f>'t1'!M10</f>
        <v>460</v>
      </c>
    </row>
    <row r="11" spans="1:29" ht="14.1" customHeight="1" x14ac:dyDescent="0.2">
      <c r="A11" s="129" t="str">
        <f>'t1'!A11</f>
        <v>POSIZIONE ECONOMICA D - FORESTALE</v>
      </c>
      <c r="B11" s="195" t="str">
        <f>'t1'!B11</f>
        <v>047FOR</v>
      </c>
      <c r="C11" s="221">
        <v>0</v>
      </c>
      <c r="D11" s="222">
        <v>0</v>
      </c>
      <c r="E11" s="223">
        <v>0</v>
      </c>
      <c r="F11" s="222">
        <v>0</v>
      </c>
      <c r="G11" s="221">
        <v>0</v>
      </c>
      <c r="H11" s="222">
        <v>0</v>
      </c>
      <c r="I11" s="221">
        <v>0</v>
      </c>
      <c r="J11" s="222">
        <v>0</v>
      </c>
      <c r="K11" s="221">
        <v>0</v>
      </c>
      <c r="L11" s="222">
        <v>0</v>
      </c>
      <c r="M11" s="221">
        <v>0</v>
      </c>
      <c r="N11" s="222">
        <v>0</v>
      </c>
      <c r="O11" s="223">
        <v>0</v>
      </c>
      <c r="P11" s="224">
        <v>0</v>
      </c>
      <c r="Q11" s="221">
        <v>0</v>
      </c>
      <c r="R11" s="222">
        <v>0</v>
      </c>
      <c r="S11" s="221">
        <v>0</v>
      </c>
      <c r="T11" s="222">
        <v>0</v>
      </c>
      <c r="U11" s="221">
        <v>0</v>
      </c>
      <c r="V11" s="222">
        <v>0</v>
      </c>
      <c r="W11" s="225">
        <v>0</v>
      </c>
      <c r="X11" s="222">
        <v>0</v>
      </c>
      <c r="Y11" s="225">
        <v>0</v>
      </c>
      <c r="Z11" s="222">
        <v>0</v>
      </c>
      <c r="AA11" s="386">
        <f t="shared" si="1"/>
        <v>0</v>
      </c>
      <c r="AB11" s="387">
        <f t="shared" si="2"/>
        <v>0</v>
      </c>
      <c r="AC11" s="30">
        <f>'t1'!M11</f>
        <v>0</v>
      </c>
    </row>
    <row r="12" spans="1:29" ht="14.1" customHeight="1" x14ac:dyDescent="0.2">
      <c r="A12" s="129" t="str">
        <f>'t1'!A12</f>
        <v>POSIZIONE ECONOMICA D  ISPETTORE ANTINCENDI DIRETTORE-VVFF</v>
      </c>
      <c r="B12" s="195" t="str">
        <f>'t1'!B12</f>
        <v>047IS3</v>
      </c>
      <c r="C12" s="221">
        <v>0</v>
      </c>
      <c r="D12" s="222">
        <v>0</v>
      </c>
      <c r="E12" s="223">
        <v>0</v>
      </c>
      <c r="F12" s="222">
        <v>0</v>
      </c>
      <c r="G12" s="221">
        <v>0</v>
      </c>
      <c r="H12" s="222">
        <v>0</v>
      </c>
      <c r="I12" s="221">
        <v>0</v>
      </c>
      <c r="J12" s="222">
        <v>0</v>
      </c>
      <c r="K12" s="221">
        <v>0</v>
      </c>
      <c r="L12" s="222">
        <v>0</v>
      </c>
      <c r="M12" s="221">
        <v>0</v>
      </c>
      <c r="N12" s="222">
        <v>0</v>
      </c>
      <c r="O12" s="223">
        <v>0</v>
      </c>
      <c r="P12" s="224">
        <v>0</v>
      </c>
      <c r="Q12" s="221">
        <v>0</v>
      </c>
      <c r="R12" s="222">
        <v>0</v>
      </c>
      <c r="S12" s="221">
        <v>0</v>
      </c>
      <c r="T12" s="222">
        <v>0</v>
      </c>
      <c r="U12" s="221">
        <v>0</v>
      </c>
      <c r="V12" s="222">
        <v>0</v>
      </c>
      <c r="W12" s="225">
        <v>0</v>
      </c>
      <c r="X12" s="222">
        <v>0</v>
      </c>
      <c r="Y12" s="225">
        <v>0</v>
      </c>
      <c r="Z12" s="222">
        <v>0</v>
      </c>
      <c r="AA12" s="386">
        <f t="shared" si="1"/>
        <v>0</v>
      </c>
      <c r="AB12" s="387">
        <f t="shared" si="2"/>
        <v>0</v>
      </c>
      <c r="AC12" s="30">
        <f>'t1'!M12</f>
        <v>0</v>
      </c>
    </row>
    <row r="13" spans="1:29" ht="14.1" customHeight="1" x14ac:dyDescent="0.2">
      <c r="A13" s="129" t="str">
        <f>'t1'!A13</f>
        <v>POSIZIONE ECONOMICA D  ISPETTORE ANTINCENDI  VVFF</v>
      </c>
      <c r="B13" s="195" t="str">
        <f>'t1'!B13</f>
        <v>047IS2</v>
      </c>
      <c r="C13" s="221">
        <v>0</v>
      </c>
      <c r="D13" s="222">
        <v>0</v>
      </c>
      <c r="E13" s="223">
        <v>0</v>
      </c>
      <c r="F13" s="222">
        <v>0</v>
      </c>
      <c r="G13" s="221">
        <v>0</v>
      </c>
      <c r="H13" s="222">
        <v>0</v>
      </c>
      <c r="I13" s="221">
        <v>0</v>
      </c>
      <c r="J13" s="222">
        <v>0</v>
      </c>
      <c r="K13" s="221">
        <v>0</v>
      </c>
      <c r="L13" s="222">
        <v>0</v>
      </c>
      <c r="M13" s="221">
        <v>1</v>
      </c>
      <c r="N13" s="222">
        <v>0</v>
      </c>
      <c r="O13" s="223">
        <v>3</v>
      </c>
      <c r="P13" s="224">
        <v>0</v>
      </c>
      <c r="Q13" s="221">
        <v>1</v>
      </c>
      <c r="R13" s="222">
        <v>0</v>
      </c>
      <c r="S13" s="221">
        <v>0</v>
      </c>
      <c r="T13" s="222">
        <v>0</v>
      </c>
      <c r="U13" s="221">
        <v>0</v>
      </c>
      <c r="V13" s="222">
        <v>0</v>
      </c>
      <c r="W13" s="225">
        <v>0</v>
      </c>
      <c r="X13" s="222">
        <v>0</v>
      </c>
      <c r="Y13" s="225">
        <v>0</v>
      </c>
      <c r="Z13" s="222">
        <v>0</v>
      </c>
      <c r="AA13" s="386">
        <f t="shared" si="1"/>
        <v>5</v>
      </c>
      <c r="AB13" s="387">
        <f t="shared" si="2"/>
        <v>0</v>
      </c>
      <c r="AC13" s="30">
        <f>'t1'!M13</f>
        <v>5</v>
      </c>
    </row>
    <row r="14" spans="1:29" ht="14.1" customHeight="1" x14ac:dyDescent="0.2">
      <c r="A14" s="129" t="str">
        <f>'t1'!A14</f>
        <v>POSIZIONE ECONOMICA C2</v>
      </c>
      <c r="B14" s="195" t="str">
        <f>'t1'!B14</f>
        <v>042000</v>
      </c>
      <c r="C14" s="221">
        <v>0</v>
      </c>
      <c r="D14" s="222">
        <v>0</v>
      </c>
      <c r="E14" s="223">
        <v>6</v>
      </c>
      <c r="F14" s="222">
        <v>5</v>
      </c>
      <c r="G14" s="221">
        <v>13</v>
      </c>
      <c r="H14" s="222">
        <v>24</v>
      </c>
      <c r="I14" s="221">
        <v>6</v>
      </c>
      <c r="J14" s="222">
        <v>23</v>
      </c>
      <c r="K14" s="221">
        <v>22</v>
      </c>
      <c r="L14" s="222">
        <v>35</v>
      </c>
      <c r="M14" s="221">
        <v>27</v>
      </c>
      <c r="N14" s="222">
        <v>54</v>
      </c>
      <c r="O14" s="223">
        <v>28</v>
      </c>
      <c r="P14" s="224">
        <v>56</v>
      </c>
      <c r="Q14" s="221">
        <v>59</v>
      </c>
      <c r="R14" s="222">
        <v>114</v>
      </c>
      <c r="S14" s="221">
        <v>74</v>
      </c>
      <c r="T14" s="222">
        <v>122</v>
      </c>
      <c r="U14" s="221">
        <v>45</v>
      </c>
      <c r="V14" s="222">
        <v>46</v>
      </c>
      <c r="W14" s="225">
        <v>2</v>
      </c>
      <c r="X14" s="222">
        <v>5</v>
      </c>
      <c r="Y14" s="225">
        <v>0</v>
      </c>
      <c r="Z14" s="222">
        <v>0</v>
      </c>
      <c r="AA14" s="386">
        <f t="shared" si="1"/>
        <v>282</v>
      </c>
      <c r="AB14" s="387">
        <f t="shared" si="2"/>
        <v>484</v>
      </c>
      <c r="AC14" s="30">
        <f>'t1'!M14</f>
        <v>766</v>
      </c>
    </row>
    <row r="15" spans="1:29" ht="14.1" customHeight="1" x14ac:dyDescent="0.2">
      <c r="A15" s="129" t="str">
        <f>'t1'!A15</f>
        <v>POSIZIONE ECONOMICA C1</v>
      </c>
      <c r="B15" s="195" t="str">
        <f>'t1'!B15</f>
        <v>040000</v>
      </c>
      <c r="C15" s="221">
        <v>0</v>
      </c>
      <c r="D15" s="222">
        <v>0</v>
      </c>
      <c r="E15" s="223">
        <v>0</v>
      </c>
      <c r="F15" s="222">
        <v>0</v>
      </c>
      <c r="G15" s="221">
        <v>0</v>
      </c>
      <c r="H15" s="222">
        <v>0</v>
      </c>
      <c r="I15" s="221">
        <v>0</v>
      </c>
      <c r="J15" s="222">
        <v>0</v>
      </c>
      <c r="K15" s="221">
        <v>0</v>
      </c>
      <c r="L15" s="222">
        <v>0</v>
      </c>
      <c r="M15" s="221">
        <v>0</v>
      </c>
      <c r="N15" s="222">
        <v>0</v>
      </c>
      <c r="O15" s="223">
        <v>0</v>
      </c>
      <c r="P15" s="224">
        <v>0</v>
      </c>
      <c r="Q15" s="221">
        <v>3</v>
      </c>
      <c r="R15" s="222">
        <v>3</v>
      </c>
      <c r="S15" s="221">
        <v>5</v>
      </c>
      <c r="T15" s="222">
        <v>5</v>
      </c>
      <c r="U15" s="221">
        <v>3</v>
      </c>
      <c r="V15" s="222">
        <v>5</v>
      </c>
      <c r="W15" s="225">
        <v>0</v>
      </c>
      <c r="X15" s="222">
        <v>1</v>
      </c>
      <c r="Y15" s="225">
        <v>0</v>
      </c>
      <c r="Z15" s="222">
        <v>0</v>
      </c>
      <c r="AA15" s="386">
        <f t="shared" si="1"/>
        <v>11</v>
      </c>
      <c r="AB15" s="387">
        <f t="shared" si="2"/>
        <v>14</v>
      </c>
      <c r="AC15" s="30">
        <f>'t1'!M15</f>
        <v>25</v>
      </c>
    </row>
    <row r="16" spans="1:29" ht="14.1" customHeight="1" x14ac:dyDescent="0.2">
      <c r="A16" s="129" t="str">
        <f>'t1'!A16</f>
        <v>ISPETTORE FORESTALE C21F</v>
      </c>
      <c r="B16" s="195" t="str">
        <f>'t1'!B16</f>
        <v>042324</v>
      </c>
      <c r="C16" s="221">
        <v>0</v>
      </c>
      <c r="D16" s="222">
        <v>0</v>
      </c>
      <c r="E16" s="223">
        <v>0</v>
      </c>
      <c r="F16" s="222">
        <v>0</v>
      </c>
      <c r="G16" s="221">
        <v>0</v>
      </c>
      <c r="H16" s="222">
        <v>0</v>
      </c>
      <c r="I16" s="221">
        <v>0</v>
      </c>
      <c r="J16" s="222">
        <v>0</v>
      </c>
      <c r="K16" s="221">
        <v>0</v>
      </c>
      <c r="L16" s="222">
        <v>0</v>
      </c>
      <c r="M16" s="221">
        <v>0</v>
      </c>
      <c r="N16" s="222">
        <v>0</v>
      </c>
      <c r="O16" s="223">
        <v>1</v>
      </c>
      <c r="P16" s="224">
        <v>1</v>
      </c>
      <c r="Q16" s="221">
        <v>2</v>
      </c>
      <c r="R16" s="222">
        <v>4</v>
      </c>
      <c r="S16" s="221">
        <v>6</v>
      </c>
      <c r="T16" s="222">
        <v>0</v>
      </c>
      <c r="U16" s="221">
        <v>5</v>
      </c>
      <c r="V16" s="222">
        <v>0</v>
      </c>
      <c r="W16" s="225">
        <v>0</v>
      </c>
      <c r="X16" s="222">
        <v>0</v>
      </c>
      <c r="Y16" s="225">
        <v>0</v>
      </c>
      <c r="Z16" s="222">
        <v>0</v>
      </c>
      <c r="AA16" s="386">
        <f t="shared" si="1"/>
        <v>14</v>
      </c>
      <c r="AB16" s="387">
        <f t="shared" si="2"/>
        <v>5</v>
      </c>
      <c r="AC16" s="30">
        <f>'t1'!M16</f>
        <v>19</v>
      </c>
    </row>
    <row r="17" spans="1:29" ht="14.1" customHeight="1" x14ac:dyDescent="0.2">
      <c r="A17" s="129" t="str">
        <f>'t1'!A17</f>
        <v>SOVRAINTENDENTE C1F</v>
      </c>
      <c r="B17" s="195" t="str">
        <f>'t1'!B17</f>
        <v>040211</v>
      </c>
      <c r="C17" s="221">
        <v>0</v>
      </c>
      <c r="D17" s="222">
        <v>0</v>
      </c>
      <c r="E17" s="223">
        <v>0</v>
      </c>
      <c r="F17" s="222">
        <v>0</v>
      </c>
      <c r="G17" s="221">
        <v>0</v>
      </c>
      <c r="H17" s="222">
        <v>0</v>
      </c>
      <c r="I17" s="221">
        <v>3</v>
      </c>
      <c r="J17" s="222">
        <v>2</v>
      </c>
      <c r="K17" s="221">
        <v>2</v>
      </c>
      <c r="L17" s="222">
        <v>1</v>
      </c>
      <c r="M17" s="221">
        <v>6</v>
      </c>
      <c r="N17" s="222">
        <v>1</v>
      </c>
      <c r="O17" s="223">
        <v>1</v>
      </c>
      <c r="P17" s="224">
        <v>0</v>
      </c>
      <c r="Q17" s="221">
        <v>2</v>
      </c>
      <c r="R17" s="222">
        <v>1</v>
      </c>
      <c r="S17" s="221">
        <v>3</v>
      </c>
      <c r="T17" s="222">
        <v>3</v>
      </c>
      <c r="U17" s="221">
        <v>2</v>
      </c>
      <c r="V17" s="222">
        <v>0</v>
      </c>
      <c r="W17" s="225">
        <v>0</v>
      </c>
      <c r="X17" s="222">
        <v>0</v>
      </c>
      <c r="Y17" s="225">
        <v>0</v>
      </c>
      <c r="Z17" s="222">
        <v>0</v>
      </c>
      <c r="AA17" s="386">
        <f t="shared" si="1"/>
        <v>19</v>
      </c>
      <c r="AB17" s="387">
        <f t="shared" si="2"/>
        <v>8</v>
      </c>
      <c r="AC17" s="30">
        <f>'t1'!M17</f>
        <v>27</v>
      </c>
    </row>
    <row r="18" spans="1:29" ht="14.1" customHeight="1" x14ac:dyDescent="0.2">
      <c r="A18" s="129" t="str">
        <f>'t1'!A18</f>
        <v>POSIZIONE ECONOMICA C2  CAPO REPARTO  VVFF</v>
      </c>
      <c r="B18" s="195" t="str">
        <f>'t1'!B18</f>
        <v>042CR1</v>
      </c>
      <c r="C18" s="221">
        <v>0</v>
      </c>
      <c r="D18" s="222">
        <v>0</v>
      </c>
      <c r="E18" s="223">
        <v>0</v>
      </c>
      <c r="F18" s="222">
        <v>0</v>
      </c>
      <c r="G18" s="221">
        <v>0</v>
      </c>
      <c r="H18" s="222">
        <v>0</v>
      </c>
      <c r="I18" s="221">
        <v>0</v>
      </c>
      <c r="J18" s="222">
        <v>0</v>
      </c>
      <c r="K18" s="221">
        <v>0</v>
      </c>
      <c r="L18" s="222">
        <v>0</v>
      </c>
      <c r="M18" s="221">
        <v>0</v>
      </c>
      <c r="N18" s="222">
        <v>0</v>
      </c>
      <c r="O18" s="223">
        <v>1</v>
      </c>
      <c r="P18" s="224">
        <v>0</v>
      </c>
      <c r="Q18" s="221">
        <v>3</v>
      </c>
      <c r="R18" s="222">
        <v>0</v>
      </c>
      <c r="S18" s="221">
        <v>7</v>
      </c>
      <c r="T18" s="222">
        <v>0</v>
      </c>
      <c r="U18" s="221">
        <v>0</v>
      </c>
      <c r="V18" s="222">
        <v>0</v>
      </c>
      <c r="W18" s="225">
        <v>0</v>
      </c>
      <c r="X18" s="222">
        <v>0</v>
      </c>
      <c r="Y18" s="225">
        <v>0</v>
      </c>
      <c r="Z18" s="222">
        <v>0</v>
      </c>
      <c r="AA18" s="386">
        <f t="shared" si="1"/>
        <v>11</v>
      </c>
      <c r="AB18" s="387">
        <f t="shared" si="2"/>
        <v>0</v>
      </c>
      <c r="AC18" s="30">
        <f>'t1'!M18</f>
        <v>11</v>
      </c>
    </row>
    <row r="19" spans="1:29" ht="14.1" customHeight="1" x14ac:dyDescent="0.2">
      <c r="A19" s="129" t="str">
        <f>'t1'!A19</f>
        <v>POSIZIONE ECONOMICA C2  COLLAB. TECNICO ANTINCENDI  VVFF</v>
      </c>
      <c r="B19" s="195" t="str">
        <f>'t1'!B19</f>
        <v>042CA0</v>
      </c>
      <c r="C19" s="221">
        <v>0</v>
      </c>
      <c r="D19" s="222">
        <v>0</v>
      </c>
      <c r="E19" s="223">
        <v>0</v>
      </c>
      <c r="F19" s="222">
        <v>0</v>
      </c>
      <c r="G19" s="221">
        <v>0</v>
      </c>
      <c r="H19" s="222">
        <v>0</v>
      </c>
      <c r="I19" s="221">
        <v>3</v>
      </c>
      <c r="J19" s="222">
        <v>0</v>
      </c>
      <c r="K19" s="221">
        <v>0</v>
      </c>
      <c r="L19" s="222">
        <v>0</v>
      </c>
      <c r="M19" s="221">
        <v>3</v>
      </c>
      <c r="N19" s="222">
        <v>0</v>
      </c>
      <c r="O19" s="223">
        <v>1</v>
      </c>
      <c r="P19" s="224">
        <v>0</v>
      </c>
      <c r="Q19" s="221">
        <v>1</v>
      </c>
      <c r="R19" s="222">
        <v>0</v>
      </c>
      <c r="S19" s="221">
        <v>0</v>
      </c>
      <c r="T19" s="222">
        <v>0</v>
      </c>
      <c r="U19" s="221">
        <v>0</v>
      </c>
      <c r="V19" s="222">
        <v>0</v>
      </c>
      <c r="W19" s="225">
        <v>0</v>
      </c>
      <c r="X19" s="222">
        <v>0</v>
      </c>
      <c r="Y19" s="225">
        <v>0</v>
      </c>
      <c r="Z19" s="222">
        <v>0</v>
      </c>
      <c r="AA19" s="386">
        <f t="shared" si="1"/>
        <v>8</v>
      </c>
      <c r="AB19" s="387">
        <f t="shared" si="2"/>
        <v>0</v>
      </c>
      <c r="AC19" s="30">
        <f>'t1'!M19</f>
        <v>8</v>
      </c>
    </row>
    <row r="20" spans="1:29" ht="14.1" customHeight="1" x14ac:dyDescent="0.2">
      <c r="A20" s="129" t="str">
        <f>'t1'!A20</f>
        <v>POSIZIONE ECONOMICA C1  CAPO SQUADRA  VVFF</v>
      </c>
      <c r="B20" s="195" t="str">
        <f>'t1'!B20</f>
        <v>040CS1</v>
      </c>
      <c r="C20" s="221">
        <v>0</v>
      </c>
      <c r="D20" s="222">
        <v>0</v>
      </c>
      <c r="E20" s="223">
        <v>0</v>
      </c>
      <c r="F20" s="222">
        <v>0</v>
      </c>
      <c r="G20" s="221">
        <v>0</v>
      </c>
      <c r="H20" s="222">
        <v>0</v>
      </c>
      <c r="I20" s="221">
        <v>0</v>
      </c>
      <c r="J20" s="222">
        <v>0</v>
      </c>
      <c r="K20" s="221">
        <v>0</v>
      </c>
      <c r="L20" s="222">
        <v>0</v>
      </c>
      <c r="M20" s="221">
        <v>6</v>
      </c>
      <c r="N20" s="222">
        <v>0</v>
      </c>
      <c r="O20" s="223">
        <v>10</v>
      </c>
      <c r="P20" s="224">
        <v>0</v>
      </c>
      <c r="Q20" s="221">
        <v>13</v>
      </c>
      <c r="R20" s="222">
        <v>0</v>
      </c>
      <c r="S20" s="221">
        <v>2</v>
      </c>
      <c r="T20" s="222">
        <v>0</v>
      </c>
      <c r="U20" s="221">
        <v>0</v>
      </c>
      <c r="V20" s="222">
        <v>0</v>
      </c>
      <c r="W20" s="225">
        <v>0</v>
      </c>
      <c r="X20" s="222">
        <v>0</v>
      </c>
      <c r="Y20" s="225">
        <v>0</v>
      </c>
      <c r="Z20" s="222">
        <v>0</v>
      </c>
      <c r="AA20" s="386">
        <f t="shared" si="1"/>
        <v>31</v>
      </c>
      <c r="AB20" s="387">
        <f t="shared" si="2"/>
        <v>0</v>
      </c>
      <c r="AC20" s="30">
        <f>'t1'!M20</f>
        <v>31</v>
      </c>
    </row>
    <row r="21" spans="1:29" ht="14.1" customHeight="1" x14ac:dyDescent="0.2">
      <c r="A21" s="129" t="str">
        <f>'t1'!A21</f>
        <v>POSIZIONE ECONOMICA B3</v>
      </c>
      <c r="B21" s="195" t="str">
        <f>'t1'!B21</f>
        <v>034000</v>
      </c>
      <c r="C21" s="221">
        <v>0</v>
      </c>
      <c r="D21" s="222">
        <v>0</v>
      </c>
      <c r="E21" s="223">
        <v>0</v>
      </c>
      <c r="F21" s="222">
        <v>0</v>
      </c>
      <c r="G21" s="221">
        <v>0</v>
      </c>
      <c r="H21" s="222">
        <v>0</v>
      </c>
      <c r="I21" s="221">
        <v>0</v>
      </c>
      <c r="J21" s="222">
        <v>0</v>
      </c>
      <c r="K21" s="221">
        <v>0</v>
      </c>
      <c r="L21" s="222">
        <v>0</v>
      </c>
      <c r="M21" s="221">
        <v>1</v>
      </c>
      <c r="N21" s="222">
        <v>0</v>
      </c>
      <c r="O21" s="223">
        <v>0</v>
      </c>
      <c r="P21" s="224">
        <v>1</v>
      </c>
      <c r="Q21" s="221">
        <v>3</v>
      </c>
      <c r="R21" s="222">
        <v>0</v>
      </c>
      <c r="S21" s="221">
        <v>3</v>
      </c>
      <c r="T21" s="222">
        <v>1</v>
      </c>
      <c r="U21" s="221">
        <v>2</v>
      </c>
      <c r="V21" s="222">
        <v>1</v>
      </c>
      <c r="W21" s="225">
        <v>1</v>
      </c>
      <c r="X21" s="222">
        <v>0</v>
      </c>
      <c r="Y21" s="225">
        <v>0</v>
      </c>
      <c r="Z21" s="222">
        <v>0</v>
      </c>
      <c r="AA21" s="386">
        <f t="shared" si="1"/>
        <v>10</v>
      </c>
      <c r="AB21" s="387">
        <f t="shared" si="2"/>
        <v>3</v>
      </c>
      <c r="AC21" s="30">
        <f>'t1'!M21</f>
        <v>13</v>
      </c>
    </row>
    <row r="22" spans="1:29" ht="14.1" customHeight="1" x14ac:dyDescent="0.2">
      <c r="A22" s="129" t="str">
        <f>'t1'!A22</f>
        <v>POSIZIONE ECONOMICA B2S</v>
      </c>
      <c r="B22" s="195" t="str">
        <f>'t1'!B22</f>
        <v>033000</v>
      </c>
      <c r="C22" s="221">
        <v>0</v>
      </c>
      <c r="D22" s="222">
        <v>0</v>
      </c>
      <c r="E22" s="223">
        <v>0</v>
      </c>
      <c r="F22" s="222">
        <v>0</v>
      </c>
      <c r="G22" s="221">
        <v>0</v>
      </c>
      <c r="H22" s="222">
        <v>0</v>
      </c>
      <c r="I22" s="221">
        <v>0</v>
      </c>
      <c r="J22" s="222">
        <v>0</v>
      </c>
      <c r="K22" s="221">
        <v>0</v>
      </c>
      <c r="L22" s="222">
        <v>0</v>
      </c>
      <c r="M22" s="221">
        <v>0</v>
      </c>
      <c r="N22" s="222">
        <v>1</v>
      </c>
      <c r="O22" s="223">
        <v>0</v>
      </c>
      <c r="P22" s="224">
        <v>1</v>
      </c>
      <c r="Q22" s="221">
        <v>0</v>
      </c>
      <c r="R22" s="222">
        <v>0</v>
      </c>
      <c r="S22" s="221">
        <v>0</v>
      </c>
      <c r="T22" s="222">
        <v>1</v>
      </c>
      <c r="U22" s="221">
        <v>0</v>
      </c>
      <c r="V22" s="222">
        <v>2</v>
      </c>
      <c r="W22" s="225">
        <v>0</v>
      </c>
      <c r="X22" s="222">
        <v>0</v>
      </c>
      <c r="Y22" s="225">
        <v>0</v>
      </c>
      <c r="Z22" s="222">
        <v>0</v>
      </c>
      <c r="AA22" s="386">
        <f t="shared" si="1"/>
        <v>0</v>
      </c>
      <c r="AB22" s="387">
        <f t="shared" si="2"/>
        <v>5</v>
      </c>
      <c r="AC22" s="30">
        <f>'t1'!M22</f>
        <v>5</v>
      </c>
    </row>
    <row r="23" spans="1:29" ht="14.1" customHeight="1" x14ac:dyDescent="0.2">
      <c r="A23" s="129" t="str">
        <f>'t1'!A23</f>
        <v>POSIZIONE ECONOMICA B2</v>
      </c>
      <c r="B23" s="195" t="str">
        <f>'t1'!B23</f>
        <v>032000</v>
      </c>
      <c r="C23" s="221">
        <v>0</v>
      </c>
      <c r="D23" s="222">
        <v>0</v>
      </c>
      <c r="E23" s="223">
        <v>1</v>
      </c>
      <c r="F23" s="222">
        <v>1</v>
      </c>
      <c r="G23" s="221">
        <v>2</v>
      </c>
      <c r="H23" s="222">
        <v>3</v>
      </c>
      <c r="I23" s="221">
        <v>4</v>
      </c>
      <c r="J23" s="222">
        <v>2</v>
      </c>
      <c r="K23" s="221">
        <v>11</v>
      </c>
      <c r="L23" s="222">
        <v>6</v>
      </c>
      <c r="M23" s="221">
        <v>16</v>
      </c>
      <c r="N23" s="222">
        <v>15</v>
      </c>
      <c r="O23" s="223">
        <v>22</v>
      </c>
      <c r="P23" s="224">
        <v>33</v>
      </c>
      <c r="Q23" s="221">
        <v>33</v>
      </c>
      <c r="R23" s="222">
        <v>82</v>
      </c>
      <c r="S23" s="221">
        <v>60</v>
      </c>
      <c r="T23" s="222">
        <v>134</v>
      </c>
      <c r="U23" s="221">
        <v>21</v>
      </c>
      <c r="V23" s="222">
        <v>61</v>
      </c>
      <c r="W23" s="225">
        <v>4</v>
      </c>
      <c r="X23" s="222">
        <v>5</v>
      </c>
      <c r="Y23" s="225">
        <v>0</v>
      </c>
      <c r="Z23" s="222">
        <v>0</v>
      </c>
      <c r="AA23" s="386">
        <f t="shared" si="1"/>
        <v>174</v>
      </c>
      <c r="AB23" s="387">
        <f t="shared" si="2"/>
        <v>342</v>
      </c>
      <c r="AC23" s="30">
        <f>'t1'!M23</f>
        <v>516</v>
      </c>
    </row>
    <row r="24" spans="1:29" ht="14.1" customHeight="1" x14ac:dyDescent="0.2">
      <c r="A24" s="129" t="str">
        <f>'t1'!A24</f>
        <v>POSIZIONE ECONOMICA B1</v>
      </c>
      <c r="B24" s="195" t="str">
        <f>'t1'!B24</f>
        <v>030000</v>
      </c>
      <c r="C24" s="221">
        <v>0</v>
      </c>
      <c r="D24" s="222">
        <v>0</v>
      </c>
      <c r="E24" s="223">
        <v>0</v>
      </c>
      <c r="F24" s="222">
        <v>0</v>
      </c>
      <c r="G24" s="221">
        <v>0</v>
      </c>
      <c r="H24" s="222">
        <v>0</v>
      </c>
      <c r="I24" s="221">
        <v>0</v>
      </c>
      <c r="J24" s="222">
        <v>0</v>
      </c>
      <c r="K24" s="221">
        <v>1</v>
      </c>
      <c r="L24" s="222">
        <v>0</v>
      </c>
      <c r="M24" s="221">
        <v>1</v>
      </c>
      <c r="N24" s="222">
        <v>0</v>
      </c>
      <c r="O24" s="223">
        <v>0</v>
      </c>
      <c r="P24" s="224">
        <v>1</v>
      </c>
      <c r="Q24" s="221">
        <v>2</v>
      </c>
      <c r="R24" s="222">
        <v>0</v>
      </c>
      <c r="S24" s="221">
        <v>9</v>
      </c>
      <c r="T24" s="222">
        <v>0</v>
      </c>
      <c r="U24" s="221">
        <v>8</v>
      </c>
      <c r="V24" s="222">
        <v>0</v>
      </c>
      <c r="W24" s="225">
        <v>0</v>
      </c>
      <c r="X24" s="222">
        <v>1</v>
      </c>
      <c r="Y24" s="225">
        <v>0</v>
      </c>
      <c r="Z24" s="222">
        <v>0</v>
      </c>
      <c r="AA24" s="386">
        <f t="shared" si="1"/>
        <v>21</v>
      </c>
      <c r="AB24" s="387">
        <f t="shared" si="2"/>
        <v>2</v>
      </c>
      <c r="AC24" s="30">
        <f>'t1'!M24</f>
        <v>23</v>
      </c>
    </row>
    <row r="25" spans="1:29" ht="14.1" customHeight="1" x14ac:dyDescent="0.2">
      <c r="A25" s="129" t="str">
        <f>'t1'!A25</f>
        <v>POS. EC. B3-GUARDIA  FORESTALE 5 A.</v>
      </c>
      <c r="B25" s="195" t="str">
        <f>'t1'!B25</f>
        <v>034561</v>
      </c>
      <c r="C25" s="221">
        <v>0</v>
      </c>
      <c r="D25" s="222">
        <v>0</v>
      </c>
      <c r="E25" s="223">
        <v>0</v>
      </c>
      <c r="F25" s="222">
        <v>0</v>
      </c>
      <c r="G25" s="221">
        <v>0</v>
      </c>
      <c r="H25" s="222">
        <v>0</v>
      </c>
      <c r="I25" s="221">
        <v>1</v>
      </c>
      <c r="J25" s="222">
        <v>0</v>
      </c>
      <c r="K25" s="221">
        <v>0</v>
      </c>
      <c r="L25" s="222">
        <v>2</v>
      </c>
      <c r="M25" s="221">
        <v>2</v>
      </c>
      <c r="N25" s="222">
        <v>1</v>
      </c>
      <c r="O25" s="223">
        <v>2</v>
      </c>
      <c r="P25" s="224">
        <v>0</v>
      </c>
      <c r="Q25" s="221">
        <v>7</v>
      </c>
      <c r="R25" s="222">
        <v>2</v>
      </c>
      <c r="S25" s="221">
        <v>9</v>
      </c>
      <c r="T25" s="222">
        <v>5</v>
      </c>
      <c r="U25" s="221">
        <v>8</v>
      </c>
      <c r="V25" s="222">
        <v>2</v>
      </c>
      <c r="W25" s="225">
        <v>0</v>
      </c>
      <c r="X25" s="222">
        <v>0</v>
      </c>
      <c r="Y25" s="225">
        <v>0</v>
      </c>
      <c r="Z25" s="222">
        <v>0</v>
      </c>
      <c r="AA25" s="386">
        <f t="shared" si="1"/>
        <v>29</v>
      </c>
      <c r="AB25" s="387">
        <f t="shared" si="2"/>
        <v>12</v>
      </c>
      <c r="AC25" s="30">
        <f>'t1'!M25</f>
        <v>41</v>
      </c>
    </row>
    <row r="26" spans="1:29" ht="14.1" customHeight="1" x14ac:dyDescent="0.2">
      <c r="A26" s="129" t="str">
        <f>'t1'!A26</f>
        <v>POS. EC. B2-GUARDIA  FORESTALE</v>
      </c>
      <c r="B26" s="195" t="str">
        <f>'t1'!B26</f>
        <v>032561</v>
      </c>
      <c r="C26" s="221">
        <v>0</v>
      </c>
      <c r="D26" s="222">
        <v>0</v>
      </c>
      <c r="E26" s="223">
        <v>2</v>
      </c>
      <c r="F26" s="222">
        <v>1</v>
      </c>
      <c r="G26" s="221">
        <v>4</v>
      </c>
      <c r="H26" s="222">
        <v>4</v>
      </c>
      <c r="I26" s="221">
        <v>6</v>
      </c>
      <c r="J26" s="222">
        <v>3</v>
      </c>
      <c r="K26" s="221">
        <v>0</v>
      </c>
      <c r="L26" s="222">
        <v>1</v>
      </c>
      <c r="M26" s="221">
        <v>1</v>
      </c>
      <c r="N26" s="222">
        <v>1</v>
      </c>
      <c r="O26" s="223">
        <v>0</v>
      </c>
      <c r="P26" s="224">
        <v>0</v>
      </c>
      <c r="Q26" s="221">
        <v>0</v>
      </c>
      <c r="R26" s="222">
        <v>0</v>
      </c>
      <c r="S26" s="221">
        <v>0</v>
      </c>
      <c r="T26" s="222">
        <v>0</v>
      </c>
      <c r="U26" s="221">
        <v>1</v>
      </c>
      <c r="V26" s="222">
        <v>0</v>
      </c>
      <c r="W26" s="225">
        <v>0</v>
      </c>
      <c r="X26" s="222">
        <v>0</v>
      </c>
      <c r="Y26" s="225">
        <v>0</v>
      </c>
      <c r="Z26" s="222">
        <v>0</v>
      </c>
      <c r="AA26" s="386">
        <f t="shared" ref="AA26:AA33" si="3">SUM(C26,E26,G26,I26,K26,M26,O26,Q26,S26,U26,W26,Y26)</f>
        <v>14</v>
      </c>
      <c r="AB26" s="387">
        <f t="shared" ref="AB26:AB33" si="4">SUM(D26,F26,H26,J26,L26,N26,P26,R26,T26,V26,X26,Z26)</f>
        <v>10</v>
      </c>
      <c r="AC26" s="30">
        <f>'t1'!M26</f>
        <v>24</v>
      </c>
    </row>
    <row r="27" spans="1:29" ht="14.1" customHeight="1" x14ac:dyDescent="0.2">
      <c r="A27" s="129" t="str">
        <f>'t1'!A27</f>
        <v>POSIZIONE ECONOMICA B1 - FORESTALE</v>
      </c>
      <c r="B27" s="195" t="str">
        <f>'t1'!B27</f>
        <v>030FOR</v>
      </c>
      <c r="C27" s="221">
        <v>0</v>
      </c>
      <c r="D27" s="222">
        <v>0</v>
      </c>
      <c r="E27" s="223">
        <v>0</v>
      </c>
      <c r="F27" s="222">
        <v>0</v>
      </c>
      <c r="G27" s="221">
        <v>0</v>
      </c>
      <c r="H27" s="222">
        <v>0</v>
      </c>
      <c r="I27" s="221">
        <v>0</v>
      </c>
      <c r="J27" s="222">
        <v>0</v>
      </c>
      <c r="K27" s="221">
        <v>0</v>
      </c>
      <c r="L27" s="222">
        <v>0</v>
      </c>
      <c r="M27" s="221">
        <v>0</v>
      </c>
      <c r="N27" s="222">
        <v>0</v>
      </c>
      <c r="O27" s="223">
        <v>0</v>
      </c>
      <c r="P27" s="224">
        <v>0</v>
      </c>
      <c r="Q27" s="221">
        <v>0</v>
      </c>
      <c r="R27" s="222">
        <v>0</v>
      </c>
      <c r="S27" s="221">
        <v>0</v>
      </c>
      <c r="T27" s="222">
        <v>0</v>
      </c>
      <c r="U27" s="221">
        <v>0</v>
      </c>
      <c r="V27" s="222">
        <v>0</v>
      </c>
      <c r="W27" s="225">
        <v>0</v>
      </c>
      <c r="X27" s="222">
        <v>0</v>
      </c>
      <c r="Y27" s="225">
        <v>0</v>
      </c>
      <c r="Z27" s="222">
        <v>0</v>
      </c>
      <c r="AA27" s="386">
        <f t="shared" si="3"/>
        <v>0</v>
      </c>
      <c r="AB27" s="387">
        <f t="shared" si="4"/>
        <v>0</v>
      </c>
      <c r="AC27" s="30">
        <f>'t1'!M27</f>
        <v>0</v>
      </c>
    </row>
    <row r="28" spans="1:29" ht="14.1" customHeight="1" x14ac:dyDescent="0.2">
      <c r="A28" s="129" t="str">
        <f>'t1'!A28</f>
        <v>POSIZIONE ECONOMICA B3  VIGILE DEL FUOCO &gt; 5 ANNI</v>
      </c>
      <c r="B28" s="195" t="str">
        <f>'t1'!B28</f>
        <v>034VF5</v>
      </c>
      <c r="C28" s="221">
        <v>0</v>
      </c>
      <c r="D28" s="222">
        <v>0</v>
      </c>
      <c r="E28" s="223">
        <v>0</v>
      </c>
      <c r="F28" s="222">
        <v>0</v>
      </c>
      <c r="G28" s="221">
        <v>0</v>
      </c>
      <c r="H28" s="222">
        <v>0</v>
      </c>
      <c r="I28" s="221">
        <v>5</v>
      </c>
      <c r="J28" s="222">
        <v>0</v>
      </c>
      <c r="K28" s="221">
        <v>6</v>
      </c>
      <c r="L28" s="222">
        <v>0</v>
      </c>
      <c r="M28" s="221">
        <v>24</v>
      </c>
      <c r="N28" s="222">
        <v>0</v>
      </c>
      <c r="O28" s="223">
        <v>36</v>
      </c>
      <c r="P28" s="224">
        <v>0</v>
      </c>
      <c r="Q28" s="221">
        <v>26</v>
      </c>
      <c r="R28" s="222">
        <v>0</v>
      </c>
      <c r="S28" s="221">
        <v>2</v>
      </c>
      <c r="T28" s="222">
        <v>0</v>
      </c>
      <c r="U28" s="221">
        <v>0</v>
      </c>
      <c r="V28" s="222">
        <v>0</v>
      </c>
      <c r="W28" s="225">
        <v>0</v>
      </c>
      <c r="X28" s="222">
        <v>0</v>
      </c>
      <c r="Y28" s="225">
        <v>0</v>
      </c>
      <c r="Z28" s="222">
        <v>0</v>
      </c>
      <c r="AA28" s="386">
        <f t="shared" si="3"/>
        <v>99</v>
      </c>
      <c r="AB28" s="387">
        <f t="shared" si="4"/>
        <v>0</v>
      </c>
      <c r="AC28" s="30">
        <f>'t1'!M28</f>
        <v>99</v>
      </c>
    </row>
    <row r="29" spans="1:29" ht="14.1" customHeight="1" x14ac:dyDescent="0.2">
      <c r="A29" s="129" t="str">
        <f>'t1'!A29</f>
        <v>POSIZIONE ECONOMICA B2  VIGILE DEL FUOCO</v>
      </c>
      <c r="B29" s="195" t="str">
        <f>'t1'!B29</f>
        <v>032VF1</v>
      </c>
      <c r="C29" s="221">
        <v>0</v>
      </c>
      <c r="D29" s="222">
        <v>0</v>
      </c>
      <c r="E29" s="223">
        <v>0</v>
      </c>
      <c r="F29" s="222">
        <v>0</v>
      </c>
      <c r="G29" s="221">
        <v>0</v>
      </c>
      <c r="H29" s="222">
        <v>0</v>
      </c>
      <c r="I29" s="221">
        <v>5</v>
      </c>
      <c r="J29" s="222">
        <v>0</v>
      </c>
      <c r="K29" s="221">
        <v>7</v>
      </c>
      <c r="L29" s="222">
        <v>0</v>
      </c>
      <c r="M29" s="221">
        <v>7</v>
      </c>
      <c r="N29" s="222">
        <v>0</v>
      </c>
      <c r="O29" s="223">
        <v>0</v>
      </c>
      <c r="P29" s="224">
        <v>0</v>
      </c>
      <c r="Q29" s="221">
        <v>0</v>
      </c>
      <c r="R29" s="222">
        <v>0</v>
      </c>
      <c r="S29" s="221">
        <v>0</v>
      </c>
      <c r="T29" s="222">
        <v>0</v>
      </c>
      <c r="U29" s="221">
        <v>0</v>
      </c>
      <c r="V29" s="222">
        <v>0</v>
      </c>
      <c r="W29" s="225">
        <v>0</v>
      </c>
      <c r="X29" s="222">
        <v>0</v>
      </c>
      <c r="Y29" s="225">
        <v>0</v>
      </c>
      <c r="Z29" s="222">
        <v>0</v>
      </c>
      <c r="AA29" s="386">
        <f t="shared" si="3"/>
        <v>19</v>
      </c>
      <c r="AB29" s="387">
        <f t="shared" si="4"/>
        <v>0</v>
      </c>
      <c r="AC29" s="30">
        <f>'t1'!M29</f>
        <v>19</v>
      </c>
    </row>
    <row r="30" spans="1:29" ht="14.1" customHeight="1" x14ac:dyDescent="0.2">
      <c r="A30" s="129" t="str">
        <f>'t1'!A30</f>
        <v>POSIZIONE ECONOMICA A</v>
      </c>
      <c r="B30" s="195" t="str">
        <f>'t1'!B30</f>
        <v>022000</v>
      </c>
      <c r="C30" s="221">
        <v>0</v>
      </c>
      <c r="D30" s="222">
        <v>0</v>
      </c>
      <c r="E30" s="223">
        <v>0</v>
      </c>
      <c r="F30" s="222">
        <v>0</v>
      </c>
      <c r="G30" s="221">
        <v>0</v>
      </c>
      <c r="H30" s="222">
        <v>1</v>
      </c>
      <c r="I30" s="221">
        <v>1</v>
      </c>
      <c r="J30" s="222">
        <v>3</v>
      </c>
      <c r="K30" s="221">
        <v>2</v>
      </c>
      <c r="L30" s="222">
        <v>4</v>
      </c>
      <c r="M30" s="221">
        <v>4</v>
      </c>
      <c r="N30" s="222">
        <v>2</v>
      </c>
      <c r="O30" s="223">
        <v>3</v>
      </c>
      <c r="P30" s="224">
        <v>12</v>
      </c>
      <c r="Q30" s="221">
        <v>6</v>
      </c>
      <c r="R30" s="222">
        <v>41</v>
      </c>
      <c r="S30" s="221">
        <v>14</v>
      </c>
      <c r="T30" s="222">
        <v>51</v>
      </c>
      <c r="U30" s="221">
        <v>8</v>
      </c>
      <c r="V30" s="222">
        <v>56</v>
      </c>
      <c r="W30" s="225">
        <v>2</v>
      </c>
      <c r="X30" s="222">
        <v>10</v>
      </c>
      <c r="Y30" s="225">
        <v>0</v>
      </c>
      <c r="Z30" s="222">
        <v>0</v>
      </c>
      <c r="AA30" s="386">
        <f t="shared" si="3"/>
        <v>40</v>
      </c>
      <c r="AB30" s="387">
        <f t="shared" si="4"/>
        <v>180</v>
      </c>
      <c r="AC30" s="30">
        <f>'t1'!M30</f>
        <v>220</v>
      </c>
    </row>
    <row r="31" spans="1:29" ht="14.1" customHeight="1" x14ac:dyDescent="0.2">
      <c r="A31" s="129" t="str">
        <f>'t1'!A31</f>
        <v>CONTRATTISTI</v>
      </c>
      <c r="B31" s="195" t="str">
        <f>'t1'!B31</f>
        <v>000061</v>
      </c>
      <c r="C31" s="221">
        <v>0</v>
      </c>
      <c r="D31" s="222">
        <v>0</v>
      </c>
      <c r="E31" s="223">
        <v>0</v>
      </c>
      <c r="F31" s="222">
        <v>0</v>
      </c>
      <c r="G31" s="221">
        <v>0</v>
      </c>
      <c r="H31" s="222">
        <v>0</v>
      </c>
      <c r="I31" s="221">
        <v>0</v>
      </c>
      <c r="J31" s="222">
        <v>0</v>
      </c>
      <c r="K31" s="221">
        <v>0</v>
      </c>
      <c r="L31" s="222">
        <v>0</v>
      </c>
      <c r="M31" s="221">
        <v>4</v>
      </c>
      <c r="N31" s="222">
        <v>0</v>
      </c>
      <c r="O31" s="223">
        <v>13</v>
      </c>
      <c r="P31" s="224">
        <v>5</v>
      </c>
      <c r="Q31" s="221">
        <v>25</v>
      </c>
      <c r="R31" s="222">
        <v>4</v>
      </c>
      <c r="S31" s="221">
        <v>43</v>
      </c>
      <c r="T31" s="222">
        <v>20</v>
      </c>
      <c r="U31" s="221">
        <f>3+9</f>
        <v>12</v>
      </c>
      <c r="V31" s="222">
        <v>1</v>
      </c>
      <c r="W31" s="225">
        <v>0</v>
      </c>
      <c r="X31" s="222">
        <v>1</v>
      </c>
      <c r="Y31" s="225">
        <v>0</v>
      </c>
      <c r="Z31" s="222">
        <v>0</v>
      </c>
      <c r="AA31" s="386">
        <f t="shared" si="3"/>
        <v>97</v>
      </c>
      <c r="AB31" s="387">
        <f t="shared" si="4"/>
        <v>31</v>
      </c>
      <c r="AC31" s="30">
        <f>'t1'!M31</f>
        <v>128</v>
      </c>
    </row>
    <row r="32" spans="1:29" ht="14.1" customHeight="1" x14ac:dyDescent="0.2">
      <c r="A32" s="129" t="str">
        <f>'t1'!A32</f>
        <v>SEGRETARIO GENERALE CCIAA</v>
      </c>
      <c r="B32" s="195" t="str">
        <f>'t1'!B32</f>
        <v>0D0104</v>
      </c>
      <c r="C32" s="221">
        <v>0</v>
      </c>
      <c r="D32" s="222">
        <v>0</v>
      </c>
      <c r="E32" s="223">
        <v>0</v>
      </c>
      <c r="F32" s="222">
        <v>0</v>
      </c>
      <c r="G32" s="221">
        <v>0</v>
      </c>
      <c r="H32" s="222">
        <v>0</v>
      </c>
      <c r="I32" s="221">
        <v>0</v>
      </c>
      <c r="J32" s="222">
        <v>0</v>
      </c>
      <c r="K32" s="221">
        <v>0</v>
      </c>
      <c r="L32" s="222">
        <v>0</v>
      </c>
      <c r="M32" s="221">
        <v>0</v>
      </c>
      <c r="N32" s="222">
        <v>0</v>
      </c>
      <c r="O32" s="223">
        <v>0</v>
      </c>
      <c r="P32" s="224">
        <v>0</v>
      </c>
      <c r="Q32" s="221">
        <v>0</v>
      </c>
      <c r="R32" s="222">
        <v>0</v>
      </c>
      <c r="S32" s="221">
        <v>0</v>
      </c>
      <c r="T32" s="222">
        <v>0</v>
      </c>
      <c r="U32" s="221">
        <v>0</v>
      </c>
      <c r="V32" s="222">
        <v>0</v>
      </c>
      <c r="W32" s="225">
        <v>0</v>
      </c>
      <c r="X32" s="222">
        <v>0</v>
      </c>
      <c r="Y32" s="225">
        <v>0</v>
      </c>
      <c r="Z32" s="222">
        <v>0</v>
      </c>
      <c r="AA32" s="386">
        <f t="shared" si="3"/>
        <v>0</v>
      </c>
      <c r="AB32" s="387">
        <f t="shared" si="4"/>
        <v>0</v>
      </c>
      <c r="AC32" s="30">
        <f>'t1'!M32</f>
        <v>0</v>
      </c>
    </row>
    <row r="33" spans="1:29" ht="14.1" customHeight="1" thickBot="1" x14ac:dyDescent="0.25">
      <c r="A33" s="129" t="str">
        <f>'t1'!A33</f>
        <v>COLLABORATORE A TEMPO DETERMINATO</v>
      </c>
      <c r="B33" s="195" t="str">
        <f>'t1'!B33</f>
        <v>000096</v>
      </c>
      <c r="C33" s="221">
        <v>0</v>
      </c>
      <c r="D33" s="222">
        <v>0</v>
      </c>
      <c r="E33" s="223">
        <v>0</v>
      </c>
      <c r="F33" s="222">
        <v>0</v>
      </c>
      <c r="G33" s="221">
        <v>0</v>
      </c>
      <c r="H33" s="222">
        <v>0</v>
      </c>
      <c r="I33" s="221">
        <v>0</v>
      </c>
      <c r="J33" s="222">
        <v>0</v>
      </c>
      <c r="K33" s="221">
        <v>0</v>
      </c>
      <c r="L33" s="222">
        <v>1</v>
      </c>
      <c r="M33" s="221">
        <v>1</v>
      </c>
      <c r="N33" s="222">
        <v>1</v>
      </c>
      <c r="O33" s="223">
        <v>0</v>
      </c>
      <c r="P33" s="224">
        <v>2</v>
      </c>
      <c r="Q33" s="221">
        <v>2</v>
      </c>
      <c r="R33" s="222">
        <v>1</v>
      </c>
      <c r="S33" s="221">
        <v>1</v>
      </c>
      <c r="T33" s="222">
        <v>0</v>
      </c>
      <c r="U33" s="221">
        <v>1</v>
      </c>
      <c r="V33" s="222">
        <v>0</v>
      </c>
      <c r="W33" s="225">
        <v>0</v>
      </c>
      <c r="X33" s="222">
        <v>1</v>
      </c>
      <c r="Y33" s="225">
        <v>0</v>
      </c>
      <c r="Z33" s="222">
        <v>0</v>
      </c>
      <c r="AA33" s="386">
        <f t="shared" si="3"/>
        <v>5</v>
      </c>
      <c r="AB33" s="387">
        <f t="shared" si="4"/>
        <v>6</v>
      </c>
      <c r="AC33" s="30">
        <f>'t1'!M33</f>
        <v>11</v>
      </c>
    </row>
    <row r="34" spans="1:29" ht="16.5" customHeight="1" thickTop="1" thickBot="1" x14ac:dyDescent="0.25">
      <c r="A34" s="43" t="s">
        <v>71</v>
      </c>
      <c r="B34" s="44"/>
      <c r="C34" s="388">
        <f t="shared" ref="C34:AB34" si="5">SUM(C6:C33)</f>
        <v>0</v>
      </c>
      <c r="D34" s="390">
        <f t="shared" si="5"/>
        <v>0</v>
      </c>
      <c r="E34" s="388">
        <f t="shared" si="5"/>
        <v>9</v>
      </c>
      <c r="F34" s="390">
        <f t="shared" si="5"/>
        <v>7</v>
      </c>
      <c r="G34" s="388">
        <f t="shared" si="5"/>
        <v>21</v>
      </c>
      <c r="H34" s="390">
        <f t="shared" si="5"/>
        <v>42</v>
      </c>
      <c r="I34" s="388">
        <f t="shared" si="5"/>
        <v>45</v>
      </c>
      <c r="J34" s="390">
        <f t="shared" si="5"/>
        <v>60</v>
      </c>
      <c r="K34" s="388">
        <f t="shared" si="5"/>
        <v>64</v>
      </c>
      <c r="L34" s="390">
        <f t="shared" si="5"/>
        <v>81</v>
      </c>
      <c r="M34" s="388">
        <f t="shared" si="5"/>
        <v>122</v>
      </c>
      <c r="N34" s="390">
        <f t="shared" si="5"/>
        <v>117</v>
      </c>
      <c r="O34" s="388">
        <f t="shared" si="5"/>
        <v>151</v>
      </c>
      <c r="P34" s="390">
        <f t="shared" si="5"/>
        <v>166</v>
      </c>
      <c r="Q34" s="388">
        <f t="shared" si="5"/>
        <v>234</v>
      </c>
      <c r="R34" s="390">
        <f t="shared" si="5"/>
        <v>341</v>
      </c>
      <c r="S34" s="388">
        <f t="shared" si="5"/>
        <v>300</v>
      </c>
      <c r="T34" s="390">
        <f t="shared" si="5"/>
        <v>414</v>
      </c>
      <c r="U34" s="388">
        <f t="shared" si="5"/>
        <v>143</v>
      </c>
      <c r="V34" s="390">
        <f t="shared" si="5"/>
        <v>204</v>
      </c>
      <c r="W34" s="388">
        <f t="shared" si="5"/>
        <v>15</v>
      </c>
      <c r="X34" s="390">
        <f t="shared" si="5"/>
        <v>27</v>
      </c>
      <c r="Y34" s="388">
        <f t="shared" si="5"/>
        <v>0</v>
      </c>
      <c r="Z34" s="390">
        <f t="shared" si="5"/>
        <v>0</v>
      </c>
      <c r="AA34" s="388">
        <f t="shared" si="5"/>
        <v>1104</v>
      </c>
      <c r="AB34" s="389">
        <f t="shared" si="5"/>
        <v>1459</v>
      </c>
    </row>
    <row r="35" spans="1:29" ht="8.25" customHeight="1" x14ac:dyDescent="0.2">
      <c r="A35" s="131"/>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row>
    <row r="36" spans="1:29" x14ac:dyDescent="0.2">
      <c r="A36" s="17" t="str">
        <f>'t1'!$A$35</f>
        <v>(a) personale a tempo indeterminato al quale viene applicato un contratto di lavoro di tipo privatistico (es.:tipografico,chimico,edile,metalmeccanico,portierato, ecc.)</v>
      </c>
      <c r="B36" s="2"/>
      <c r="C36" s="3"/>
      <c r="D36" s="3"/>
      <c r="E36" s="3"/>
      <c r="F36" s="3"/>
      <c r="G36" s="3"/>
      <c r="H36" s="3"/>
      <c r="I36" s="3"/>
      <c r="J36" s="3"/>
      <c r="K36" s="3"/>
      <c r="L36" s="3"/>
      <c r="M36" s="63"/>
    </row>
    <row r="37" spans="1:29" s="3" customFormat="1" x14ac:dyDescent="0.2">
      <c r="A37" s="17" t="str">
        <f>'t1'!$A$36</f>
        <v>(b) cfr." istruzioni generali e specifiche di comparto" e "glossario"</v>
      </c>
      <c r="B37" s="2"/>
    </row>
  </sheetData>
  <sheetProtection password="DD41" sheet="1" formatColumns="0" selectLockedCells="1"/>
  <mergeCells count="14">
    <mergeCell ref="AA4:AB4"/>
    <mergeCell ref="U4:V4"/>
    <mergeCell ref="Y4:Z4"/>
    <mergeCell ref="W4:X4"/>
    <mergeCell ref="A1:Y1"/>
    <mergeCell ref="S2:AB2"/>
    <mergeCell ref="M4:N4"/>
    <mergeCell ref="C4:D4"/>
    <mergeCell ref="G4:H4"/>
    <mergeCell ref="I4:J4"/>
    <mergeCell ref="K4:L4"/>
    <mergeCell ref="O4:P4"/>
    <mergeCell ref="Q4:R4"/>
    <mergeCell ref="S4:T4"/>
  </mergeCells>
  <phoneticPr fontId="30" type="noConversion"/>
  <conditionalFormatting sqref="A6:AB33">
    <cfRule type="expression" dxfId="26" priority="1" stopIfTrue="1">
      <formula>$AC6&gt;0</formula>
    </cfRule>
  </conditionalFormatting>
  <printOptions horizontalCentered="1" verticalCentered="1"/>
  <pageMargins left="0" right="0" top="0.19685039370078741" bottom="0.17" header="0.23" footer="0.18"/>
  <pageSetup paperSize="9" scale="71"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6">
    <pageSetUpPr fitToPage="1"/>
  </sheetPr>
  <dimension ref="A1:T36"/>
  <sheetViews>
    <sheetView showGridLines="0" workbookViewId="0">
      <pane xSplit="2" ySplit="5" topLeftCell="C6" activePane="bottomRight" state="frozen"/>
      <selection activeCell="A2" sqref="A2"/>
      <selection pane="topRight" activeCell="A2" sqref="A2"/>
      <selection pane="bottomLeft" activeCell="A2" sqref="A2"/>
      <selection pane="bottomRight" activeCell="K31" sqref="K31"/>
    </sheetView>
  </sheetViews>
  <sheetFormatPr defaultColWidth="10.6640625" defaultRowHeight="12.75" x14ac:dyDescent="0.2"/>
  <cols>
    <col min="1" max="1" width="43.6640625" style="25" customWidth="1"/>
    <col min="2" max="2" width="7.6640625" style="25" bestFit="1" customWidth="1"/>
    <col min="3" max="16" width="13.6640625" style="25" customWidth="1"/>
    <col min="17" max="17" width="10.6640625" style="25" hidden="1" customWidth="1"/>
    <col min="18" max="16384" width="10.6640625" style="25"/>
  </cols>
  <sheetData>
    <row r="1" spans="1:17" s="3" customFormat="1" ht="43.5" customHeight="1" x14ac:dyDescent="0.2">
      <c r="A1" s="1486" t="str">
        <f>'t1'!A1</f>
        <v>REGIONE VALLE D'AOSTA - anno 2024</v>
      </c>
      <c r="B1" s="1486"/>
      <c r="C1" s="1486"/>
      <c r="D1" s="1486"/>
      <c r="E1" s="1486"/>
      <c r="F1" s="1486"/>
      <c r="G1" s="1486"/>
      <c r="H1" s="1486"/>
      <c r="I1" s="1486"/>
      <c r="J1" s="1486"/>
      <c r="K1" s="1486"/>
      <c r="L1" s="1486"/>
      <c r="M1" s="1486"/>
      <c r="N1" s="1486"/>
      <c r="P1" s="270"/>
      <c r="Q1"/>
    </row>
    <row r="2" spans="1:17" s="3" customFormat="1" ht="5.25" customHeight="1" x14ac:dyDescent="0.2">
      <c r="A2" s="300"/>
      <c r="B2" s="300"/>
      <c r="C2" s="300"/>
      <c r="D2" s="300"/>
      <c r="E2" s="300"/>
      <c r="F2" s="300"/>
      <c r="G2" s="300"/>
      <c r="H2" s="300"/>
      <c r="I2" s="300"/>
      <c r="J2" s="300"/>
      <c r="K2" s="300"/>
      <c r="L2" s="300"/>
      <c r="M2" s="300"/>
      <c r="N2" s="300"/>
      <c r="P2" s="270"/>
      <c r="Q2"/>
    </row>
    <row r="3" spans="1:17" ht="30" customHeight="1" thickBot="1" x14ac:dyDescent="0.25">
      <c r="M3" s="1487"/>
      <c r="N3" s="1487"/>
      <c r="O3" s="1487"/>
      <c r="P3" s="1487"/>
    </row>
    <row r="4" spans="1:17" ht="24.95" customHeight="1" x14ac:dyDescent="0.2">
      <c r="A4" s="237" t="s">
        <v>140</v>
      </c>
      <c r="B4" s="226" t="s">
        <v>68</v>
      </c>
      <c r="C4" s="904" t="s">
        <v>75</v>
      </c>
      <c r="D4" s="27"/>
      <c r="E4" s="26" t="s">
        <v>76</v>
      </c>
      <c r="F4" s="27"/>
      <c r="G4" s="1521" t="s">
        <v>61</v>
      </c>
      <c r="H4" s="1522"/>
      <c r="I4" s="1521" t="s">
        <v>77</v>
      </c>
      <c r="J4" s="1522"/>
      <c r="K4" s="1521" t="s">
        <v>62</v>
      </c>
      <c r="L4" s="1522"/>
      <c r="M4" s="1521" t="s">
        <v>63</v>
      </c>
      <c r="N4" s="1522"/>
      <c r="O4" s="26" t="s">
        <v>71</v>
      </c>
      <c r="P4" s="905"/>
    </row>
    <row r="5" spans="1:17" ht="14.25" customHeight="1" thickBot="1" x14ac:dyDescent="0.25">
      <c r="A5" s="749" t="s">
        <v>635</v>
      </c>
      <c r="B5" s="901"/>
      <c r="C5" s="906" t="s">
        <v>69</v>
      </c>
      <c r="D5" s="907" t="s">
        <v>70</v>
      </c>
      <c r="E5" s="908" t="s">
        <v>69</v>
      </c>
      <c r="F5" s="907" t="s">
        <v>70</v>
      </c>
      <c r="G5" s="908" t="s">
        <v>69</v>
      </c>
      <c r="H5" s="909" t="s">
        <v>70</v>
      </c>
      <c r="I5" s="908" t="s">
        <v>69</v>
      </c>
      <c r="J5" s="909" t="s">
        <v>70</v>
      </c>
      <c r="K5" s="908" t="s">
        <v>69</v>
      </c>
      <c r="L5" s="910" t="s">
        <v>70</v>
      </c>
      <c r="M5" s="908" t="s">
        <v>69</v>
      </c>
      <c r="N5" s="910" t="s">
        <v>70</v>
      </c>
      <c r="O5" s="908" t="s">
        <v>69</v>
      </c>
      <c r="P5" s="911" t="s">
        <v>70</v>
      </c>
    </row>
    <row r="6" spans="1:17" ht="14.1" customHeight="1" thickTop="1" x14ac:dyDescent="0.2">
      <c r="A6" s="129" t="str">
        <f>'t1'!A6</f>
        <v>SEGRETARIO I FASCIA</v>
      </c>
      <c r="B6" s="195" t="str">
        <f>'t1'!B6</f>
        <v>0D0102</v>
      </c>
      <c r="C6" s="287">
        <v>0</v>
      </c>
      <c r="D6" s="288">
        <v>0</v>
      </c>
      <c r="E6" s="287">
        <v>0</v>
      </c>
      <c r="F6" s="288">
        <v>0</v>
      </c>
      <c r="G6" s="287">
        <v>0</v>
      </c>
      <c r="H6" s="289">
        <v>0</v>
      </c>
      <c r="I6" s="436">
        <v>0</v>
      </c>
      <c r="J6" s="289">
        <v>0</v>
      </c>
      <c r="K6" s="436">
        <v>0</v>
      </c>
      <c r="L6" s="289">
        <v>0</v>
      </c>
      <c r="M6" s="290">
        <v>0</v>
      </c>
      <c r="N6" s="291">
        <v>0</v>
      </c>
      <c r="O6" s="902">
        <f t="shared" ref="O6:P9" si="0">SUM(C6,E6,G6,I6,K6,M6)</f>
        <v>0</v>
      </c>
      <c r="P6" s="903">
        <f t="shared" si="0"/>
        <v>0</v>
      </c>
      <c r="Q6" s="25">
        <f>'t1'!M6</f>
        <v>0</v>
      </c>
    </row>
    <row r="7" spans="1:17" ht="14.1" customHeight="1" x14ac:dyDescent="0.2">
      <c r="A7" s="129" t="str">
        <f>'t1'!A7</f>
        <v>SEGRETARIO II FASCIA</v>
      </c>
      <c r="B7" s="195" t="str">
        <f>'t1'!B7</f>
        <v>0D0103</v>
      </c>
      <c r="C7" s="287">
        <v>0</v>
      </c>
      <c r="D7" s="288">
        <v>0</v>
      </c>
      <c r="E7" s="287">
        <v>0</v>
      </c>
      <c r="F7" s="288">
        <v>0</v>
      </c>
      <c r="G7" s="287">
        <v>0</v>
      </c>
      <c r="H7" s="289">
        <v>0</v>
      </c>
      <c r="I7" s="436">
        <v>0</v>
      </c>
      <c r="J7" s="289">
        <v>0</v>
      </c>
      <c r="K7" s="436">
        <v>0</v>
      </c>
      <c r="L7" s="289">
        <v>0</v>
      </c>
      <c r="M7" s="290">
        <v>0</v>
      </c>
      <c r="N7" s="291">
        <v>0</v>
      </c>
      <c r="O7" s="391">
        <f t="shared" si="0"/>
        <v>0</v>
      </c>
      <c r="P7" s="392">
        <f t="shared" si="0"/>
        <v>0</v>
      </c>
      <c r="Q7" s="25">
        <f>'t1'!M7</f>
        <v>0</v>
      </c>
    </row>
    <row r="8" spans="1:17" ht="14.1" customHeight="1" x14ac:dyDescent="0.2">
      <c r="A8" s="129" t="str">
        <f>'t1'!A8</f>
        <v>SEGRETARIO III FASCIA</v>
      </c>
      <c r="B8" s="195" t="str">
        <f>'t1'!B8</f>
        <v>0D0485</v>
      </c>
      <c r="C8" s="287">
        <v>0</v>
      </c>
      <c r="D8" s="288">
        <v>0</v>
      </c>
      <c r="E8" s="287">
        <v>0</v>
      </c>
      <c r="F8" s="288">
        <v>0</v>
      </c>
      <c r="G8" s="287">
        <v>0</v>
      </c>
      <c r="H8" s="289">
        <v>0</v>
      </c>
      <c r="I8" s="436">
        <v>0</v>
      </c>
      <c r="J8" s="289">
        <v>0</v>
      </c>
      <c r="K8" s="436">
        <v>0</v>
      </c>
      <c r="L8" s="289">
        <v>0</v>
      </c>
      <c r="M8" s="290">
        <v>0</v>
      </c>
      <c r="N8" s="291">
        <v>0</v>
      </c>
      <c r="O8" s="391">
        <f t="shared" si="0"/>
        <v>0</v>
      </c>
      <c r="P8" s="392">
        <f t="shared" si="0"/>
        <v>0</v>
      </c>
      <c r="Q8" s="25">
        <f>'t1'!M8</f>
        <v>0</v>
      </c>
    </row>
    <row r="9" spans="1:17" ht="14.1" customHeight="1" x14ac:dyDescent="0.2">
      <c r="A9" s="129" t="str">
        <f>'t1'!A9</f>
        <v>DIRIGENTI</v>
      </c>
      <c r="B9" s="195" t="str">
        <f>'t1'!B9</f>
        <v>0D0164</v>
      </c>
      <c r="C9" s="287">
        <v>0</v>
      </c>
      <c r="D9" s="288">
        <v>0</v>
      </c>
      <c r="E9" s="287">
        <v>1</v>
      </c>
      <c r="F9" s="288">
        <v>1</v>
      </c>
      <c r="G9" s="287">
        <v>4</v>
      </c>
      <c r="H9" s="289">
        <v>5</v>
      </c>
      <c r="I9" s="436">
        <v>55</v>
      </c>
      <c r="J9" s="289">
        <v>37</v>
      </c>
      <c r="K9" s="436">
        <v>0</v>
      </c>
      <c r="L9" s="289">
        <v>3</v>
      </c>
      <c r="M9" s="290">
        <v>5</v>
      </c>
      <c r="N9" s="291">
        <v>1</v>
      </c>
      <c r="O9" s="391">
        <f t="shared" si="0"/>
        <v>65</v>
      </c>
      <c r="P9" s="392">
        <f t="shared" si="0"/>
        <v>47</v>
      </c>
      <c r="Q9" s="25">
        <f>'t1'!M9</f>
        <v>112</v>
      </c>
    </row>
    <row r="10" spans="1:17" ht="14.1" customHeight="1" x14ac:dyDescent="0.2">
      <c r="A10" s="129" t="str">
        <f>'t1'!A10</f>
        <v>POSIZIONE ECONOMICA D</v>
      </c>
      <c r="B10" s="195" t="str">
        <f>'t1'!B10</f>
        <v>047000</v>
      </c>
      <c r="C10" s="287">
        <v>0</v>
      </c>
      <c r="D10" s="288">
        <v>0</v>
      </c>
      <c r="E10" s="287">
        <v>23</v>
      </c>
      <c r="F10" s="288">
        <v>40</v>
      </c>
      <c r="G10" s="287">
        <v>22</v>
      </c>
      <c r="H10" s="289">
        <v>87</v>
      </c>
      <c r="I10" s="436">
        <v>93</v>
      </c>
      <c r="J10" s="289">
        <v>158</v>
      </c>
      <c r="K10" s="436">
        <v>5</v>
      </c>
      <c r="L10" s="289">
        <v>14</v>
      </c>
      <c r="M10" s="290">
        <v>7</v>
      </c>
      <c r="N10" s="291">
        <v>11</v>
      </c>
      <c r="O10" s="391">
        <f t="shared" ref="O10:O25" si="1">SUM(C10,E10,G10,I10,K10,M10)</f>
        <v>150</v>
      </c>
      <c r="P10" s="392">
        <f t="shared" ref="P10:P25" si="2">SUM(D10,F10,H10,J10,L10,N10)</f>
        <v>310</v>
      </c>
      <c r="Q10" s="25">
        <f>'t1'!M10</f>
        <v>460</v>
      </c>
    </row>
    <row r="11" spans="1:17" ht="14.1" customHeight="1" x14ac:dyDescent="0.2">
      <c r="A11" s="129" t="str">
        <f>'t1'!A11</f>
        <v>POSIZIONE ECONOMICA D - FORESTALE</v>
      </c>
      <c r="B11" s="195" t="str">
        <f>'t1'!B11</f>
        <v>047FOR</v>
      </c>
      <c r="C11" s="287">
        <v>0</v>
      </c>
      <c r="D11" s="288">
        <v>0</v>
      </c>
      <c r="E11" s="287">
        <v>0</v>
      </c>
      <c r="F11" s="288">
        <v>0</v>
      </c>
      <c r="G11" s="287">
        <v>0</v>
      </c>
      <c r="H11" s="289">
        <v>0</v>
      </c>
      <c r="I11" s="436">
        <v>0</v>
      </c>
      <c r="J11" s="289">
        <v>0</v>
      </c>
      <c r="K11" s="436">
        <v>0</v>
      </c>
      <c r="L11" s="289">
        <v>0</v>
      </c>
      <c r="M11" s="290">
        <v>0</v>
      </c>
      <c r="N11" s="291">
        <v>0</v>
      </c>
      <c r="O11" s="391">
        <f t="shared" si="1"/>
        <v>0</v>
      </c>
      <c r="P11" s="392">
        <f t="shared" si="2"/>
        <v>0</v>
      </c>
      <c r="Q11" s="25">
        <f>'t1'!M11</f>
        <v>0</v>
      </c>
    </row>
    <row r="12" spans="1:17" ht="14.1" customHeight="1" x14ac:dyDescent="0.2">
      <c r="A12" s="129" t="str">
        <f>'t1'!A12</f>
        <v>POSIZIONE ECONOMICA D  ISPETTORE ANTINCENDI DIRETTORE-VVFF</v>
      </c>
      <c r="B12" s="195" t="str">
        <f>'t1'!B12</f>
        <v>047IS3</v>
      </c>
      <c r="C12" s="287">
        <v>0</v>
      </c>
      <c r="D12" s="288">
        <v>0</v>
      </c>
      <c r="E12" s="287">
        <v>0</v>
      </c>
      <c r="F12" s="288">
        <v>0</v>
      </c>
      <c r="G12" s="287">
        <v>0</v>
      </c>
      <c r="H12" s="289">
        <v>0</v>
      </c>
      <c r="I12" s="436">
        <v>0</v>
      </c>
      <c r="J12" s="289">
        <v>0</v>
      </c>
      <c r="K12" s="436">
        <v>0</v>
      </c>
      <c r="L12" s="289">
        <v>0</v>
      </c>
      <c r="M12" s="290">
        <v>0</v>
      </c>
      <c r="N12" s="291">
        <v>0</v>
      </c>
      <c r="O12" s="391">
        <f t="shared" si="1"/>
        <v>0</v>
      </c>
      <c r="P12" s="392">
        <f t="shared" si="2"/>
        <v>0</v>
      </c>
      <c r="Q12" s="25">
        <f>'t1'!M12</f>
        <v>0</v>
      </c>
    </row>
    <row r="13" spans="1:17" ht="14.1" customHeight="1" x14ac:dyDescent="0.2">
      <c r="A13" s="129" t="str">
        <f>'t1'!A13</f>
        <v>POSIZIONE ECONOMICA D  ISPETTORE ANTINCENDI  VVFF</v>
      </c>
      <c r="B13" s="195" t="str">
        <f>'t1'!B13</f>
        <v>047IS2</v>
      </c>
      <c r="C13" s="287">
        <v>0</v>
      </c>
      <c r="D13" s="288">
        <v>0</v>
      </c>
      <c r="E13" s="287">
        <v>0</v>
      </c>
      <c r="F13" s="288">
        <v>0</v>
      </c>
      <c r="G13" s="287">
        <v>1</v>
      </c>
      <c r="H13" s="289">
        <v>0</v>
      </c>
      <c r="I13" s="436">
        <v>4</v>
      </c>
      <c r="J13" s="289">
        <v>0</v>
      </c>
      <c r="K13" s="436">
        <v>0</v>
      </c>
      <c r="L13" s="289">
        <v>0</v>
      </c>
      <c r="M13" s="290">
        <v>0</v>
      </c>
      <c r="N13" s="291">
        <v>0</v>
      </c>
      <c r="O13" s="391">
        <f t="shared" si="1"/>
        <v>5</v>
      </c>
      <c r="P13" s="392">
        <f t="shared" si="2"/>
        <v>0</v>
      </c>
      <c r="Q13" s="25">
        <f>'t1'!M13</f>
        <v>5</v>
      </c>
    </row>
    <row r="14" spans="1:17" ht="14.1" customHeight="1" x14ac:dyDescent="0.2">
      <c r="A14" s="129" t="str">
        <f>'t1'!A14</f>
        <v>POSIZIONE ECONOMICA C2</v>
      </c>
      <c r="B14" s="195" t="str">
        <f>'t1'!B14</f>
        <v>042000</v>
      </c>
      <c r="C14" s="287">
        <v>1</v>
      </c>
      <c r="D14" s="288">
        <v>2</v>
      </c>
      <c r="E14" s="287">
        <v>232</v>
      </c>
      <c r="F14" s="288">
        <v>334</v>
      </c>
      <c r="G14" s="287">
        <v>24</v>
      </c>
      <c r="H14" s="289">
        <v>76</v>
      </c>
      <c r="I14" s="436">
        <v>22</v>
      </c>
      <c r="J14" s="289">
        <v>70</v>
      </c>
      <c r="K14" s="436">
        <v>1</v>
      </c>
      <c r="L14" s="289">
        <v>2</v>
      </c>
      <c r="M14" s="290">
        <v>2</v>
      </c>
      <c r="N14" s="291">
        <v>0</v>
      </c>
      <c r="O14" s="391">
        <f t="shared" si="1"/>
        <v>282</v>
      </c>
      <c r="P14" s="392">
        <f t="shared" si="2"/>
        <v>484</v>
      </c>
      <c r="Q14" s="25">
        <f>'t1'!M14</f>
        <v>766</v>
      </c>
    </row>
    <row r="15" spans="1:17" ht="14.1" customHeight="1" x14ac:dyDescent="0.2">
      <c r="A15" s="129" t="str">
        <f>'t1'!A15</f>
        <v>POSIZIONE ECONOMICA C1</v>
      </c>
      <c r="B15" s="195" t="str">
        <f>'t1'!B15</f>
        <v>040000</v>
      </c>
      <c r="C15" s="287">
        <v>1</v>
      </c>
      <c r="D15" s="288">
        <v>2</v>
      </c>
      <c r="E15" s="287">
        <v>10</v>
      </c>
      <c r="F15" s="288">
        <v>12</v>
      </c>
      <c r="G15" s="287">
        <v>0</v>
      </c>
      <c r="H15" s="289">
        <v>0</v>
      </c>
      <c r="I15" s="436">
        <v>0</v>
      </c>
      <c r="J15" s="289">
        <v>0</v>
      </c>
      <c r="K15" s="436">
        <v>0</v>
      </c>
      <c r="L15" s="289">
        <v>0</v>
      </c>
      <c r="M15" s="290">
        <v>0</v>
      </c>
      <c r="N15" s="291">
        <v>0</v>
      </c>
      <c r="O15" s="391">
        <f t="shared" si="1"/>
        <v>11</v>
      </c>
      <c r="P15" s="392">
        <f t="shared" si="2"/>
        <v>14</v>
      </c>
      <c r="Q15" s="25">
        <f>'t1'!M15</f>
        <v>25</v>
      </c>
    </row>
    <row r="16" spans="1:17" ht="14.1" customHeight="1" x14ac:dyDescent="0.2">
      <c r="A16" s="129" t="str">
        <f>'t1'!A16</f>
        <v>ISPETTORE FORESTALE C21F</v>
      </c>
      <c r="B16" s="195" t="str">
        <f>'t1'!B16</f>
        <v>042324</v>
      </c>
      <c r="C16" s="287">
        <v>1</v>
      </c>
      <c r="D16" s="288">
        <v>0</v>
      </c>
      <c r="E16" s="287">
        <v>11</v>
      </c>
      <c r="F16" s="288">
        <v>1</v>
      </c>
      <c r="G16" s="287">
        <v>1</v>
      </c>
      <c r="H16" s="289">
        <v>2</v>
      </c>
      <c r="I16" s="436">
        <v>1</v>
      </c>
      <c r="J16" s="289">
        <v>1</v>
      </c>
      <c r="K16" s="436">
        <v>0</v>
      </c>
      <c r="L16" s="289">
        <v>0</v>
      </c>
      <c r="M16" s="290">
        <v>0</v>
      </c>
      <c r="N16" s="291">
        <v>1</v>
      </c>
      <c r="O16" s="391">
        <f t="shared" si="1"/>
        <v>14</v>
      </c>
      <c r="P16" s="392">
        <f t="shared" si="2"/>
        <v>5</v>
      </c>
      <c r="Q16" s="25">
        <f>'t1'!M16</f>
        <v>19</v>
      </c>
    </row>
    <row r="17" spans="1:17" ht="14.1" customHeight="1" x14ac:dyDescent="0.2">
      <c r="A17" s="129" t="str">
        <f>'t1'!A17</f>
        <v>SOVRAINTENDENTE C1F</v>
      </c>
      <c r="B17" s="195" t="str">
        <f>'t1'!B17</f>
        <v>040211</v>
      </c>
      <c r="C17" s="287">
        <v>1</v>
      </c>
      <c r="D17" s="288">
        <v>0</v>
      </c>
      <c r="E17" s="287">
        <v>10</v>
      </c>
      <c r="F17" s="288">
        <v>4</v>
      </c>
      <c r="G17" s="287">
        <v>2</v>
      </c>
      <c r="H17" s="289">
        <v>2</v>
      </c>
      <c r="I17" s="436">
        <v>6</v>
      </c>
      <c r="J17" s="289">
        <v>2</v>
      </c>
      <c r="K17" s="436">
        <v>0</v>
      </c>
      <c r="L17" s="289">
        <v>0</v>
      </c>
      <c r="M17" s="290">
        <v>0</v>
      </c>
      <c r="N17" s="291">
        <v>0</v>
      </c>
      <c r="O17" s="391">
        <f t="shared" si="1"/>
        <v>19</v>
      </c>
      <c r="P17" s="392">
        <f t="shared" si="2"/>
        <v>8</v>
      </c>
      <c r="Q17" s="25">
        <f>'t1'!M17</f>
        <v>27</v>
      </c>
    </row>
    <row r="18" spans="1:17" ht="14.1" customHeight="1" x14ac:dyDescent="0.2">
      <c r="A18" s="129" t="str">
        <f>'t1'!A18</f>
        <v>POSIZIONE ECONOMICA C2  CAPO REPARTO  VVFF</v>
      </c>
      <c r="B18" s="195" t="str">
        <f>'t1'!B18</f>
        <v>042CR1</v>
      </c>
      <c r="C18" s="287">
        <v>4</v>
      </c>
      <c r="D18" s="288">
        <v>0</v>
      </c>
      <c r="E18" s="287">
        <v>7</v>
      </c>
      <c r="F18" s="288">
        <v>0</v>
      </c>
      <c r="G18" s="287">
        <v>0</v>
      </c>
      <c r="H18" s="289">
        <v>0</v>
      </c>
      <c r="I18" s="436">
        <v>0</v>
      </c>
      <c r="J18" s="289">
        <v>0</v>
      </c>
      <c r="K18" s="436">
        <v>0</v>
      </c>
      <c r="L18" s="289">
        <v>0</v>
      </c>
      <c r="M18" s="290">
        <v>0</v>
      </c>
      <c r="N18" s="291">
        <v>0</v>
      </c>
      <c r="O18" s="391">
        <f t="shared" si="1"/>
        <v>11</v>
      </c>
      <c r="P18" s="392">
        <f t="shared" si="2"/>
        <v>0</v>
      </c>
      <c r="Q18" s="25">
        <f>'t1'!M18</f>
        <v>11</v>
      </c>
    </row>
    <row r="19" spans="1:17" ht="14.1" customHeight="1" x14ac:dyDescent="0.2">
      <c r="A19" s="129" t="str">
        <f>'t1'!A19</f>
        <v>POSIZIONE ECONOMICA C2  COLLAB. TECNICO ANTINCENDI  VVFF</v>
      </c>
      <c r="B19" s="195" t="str">
        <f>'t1'!B19</f>
        <v>042CA0</v>
      </c>
      <c r="C19" s="287">
        <v>0</v>
      </c>
      <c r="D19" s="288">
        <v>0</v>
      </c>
      <c r="E19" s="287">
        <v>3</v>
      </c>
      <c r="F19" s="288">
        <v>0</v>
      </c>
      <c r="G19" s="287">
        <v>1</v>
      </c>
      <c r="H19" s="289">
        <v>0</v>
      </c>
      <c r="I19" s="436">
        <v>4</v>
      </c>
      <c r="J19" s="289">
        <v>0</v>
      </c>
      <c r="K19" s="436">
        <v>0</v>
      </c>
      <c r="L19" s="289">
        <v>0</v>
      </c>
      <c r="M19" s="290">
        <v>0</v>
      </c>
      <c r="N19" s="291">
        <v>0</v>
      </c>
      <c r="O19" s="391">
        <f t="shared" si="1"/>
        <v>8</v>
      </c>
      <c r="P19" s="392">
        <f t="shared" si="2"/>
        <v>0</v>
      </c>
      <c r="Q19" s="25">
        <f>'t1'!M19</f>
        <v>8</v>
      </c>
    </row>
    <row r="20" spans="1:17" ht="14.1" customHeight="1" x14ac:dyDescent="0.2">
      <c r="A20" s="129" t="str">
        <f>'t1'!A20</f>
        <v>POSIZIONE ECONOMICA C1  CAPO SQUADRA  VVFF</v>
      </c>
      <c r="B20" s="195" t="str">
        <f>'t1'!B20</f>
        <v>040CS1</v>
      </c>
      <c r="C20" s="287">
        <v>5</v>
      </c>
      <c r="D20" s="288">
        <v>0</v>
      </c>
      <c r="E20" s="287">
        <v>21</v>
      </c>
      <c r="F20" s="288">
        <v>0</v>
      </c>
      <c r="G20" s="287">
        <v>5</v>
      </c>
      <c r="H20" s="289">
        <v>0</v>
      </c>
      <c r="I20" s="436">
        <v>0</v>
      </c>
      <c r="J20" s="289">
        <v>0</v>
      </c>
      <c r="K20" s="436">
        <v>0</v>
      </c>
      <c r="L20" s="289">
        <v>0</v>
      </c>
      <c r="M20" s="290">
        <v>0</v>
      </c>
      <c r="N20" s="291">
        <v>0</v>
      </c>
      <c r="O20" s="391">
        <f t="shared" si="1"/>
        <v>31</v>
      </c>
      <c r="P20" s="392">
        <f t="shared" si="2"/>
        <v>0</v>
      </c>
      <c r="Q20" s="25">
        <f>'t1'!M20</f>
        <v>31</v>
      </c>
    </row>
    <row r="21" spans="1:17" ht="14.1" customHeight="1" x14ac:dyDescent="0.2">
      <c r="A21" s="129" t="str">
        <f>'t1'!A21</f>
        <v>POSIZIONE ECONOMICA B3</v>
      </c>
      <c r="B21" s="195" t="str">
        <f>'t1'!B21</f>
        <v>034000</v>
      </c>
      <c r="C21" s="287">
        <v>2</v>
      </c>
      <c r="D21" s="288">
        <v>1</v>
      </c>
      <c r="E21" s="287">
        <v>7</v>
      </c>
      <c r="F21" s="288">
        <v>1</v>
      </c>
      <c r="G21" s="287">
        <v>0</v>
      </c>
      <c r="H21" s="289">
        <v>1</v>
      </c>
      <c r="I21" s="436">
        <v>1</v>
      </c>
      <c r="J21" s="289">
        <v>0</v>
      </c>
      <c r="K21" s="436">
        <v>0</v>
      </c>
      <c r="L21" s="289">
        <v>0</v>
      </c>
      <c r="M21" s="290">
        <v>0</v>
      </c>
      <c r="N21" s="291">
        <v>0</v>
      </c>
      <c r="O21" s="391">
        <f t="shared" si="1"/>
        <v>10</v>
      </c>
      <c r="P21" s="392">
        <f t="shared" si="2"/>
        <v>3</v>
      </c>
      <c r="Q21" s="25">
        <f>'t1'!M21</f>
        <v>13</v>
      </c>
    </row>
    <row r="22" spans="1:17" ht="14.1" customHeight="1" x14ac:dyDescent="0.2">
      <c r="A22" s="129" t="str">
        <f>'t1'!A22</f>
        <v>POSIZIONE ECONOMICA B2S</v>
      </c>
      <c r="B22" s="195" t="str">
        <f>'t1'!B22</f>
        <v>033000</v>
      </c>
      <c r="C22" s="287">
        <v>0</v>
      </c>
      <c r="D22" s="288">
        <v>2</v>
      </c>
      <c r="E22" s="287">
        <v>0</v>
      </c>
      <c r="F22" s="288">
        <v>3</v>
      </c>
      <c r="G22" s="287">
        <v>0</v>
      </c>
      <c r="H22" s="289">
        <v>0</v>
      </c>
      <c r="I22" s="436">
        <v>0</v>
      </c>
      <c r="J22" s="289">
        <v>0</v>
      </c>
      <c r="K22" s="436">
        <v>0</v>
      </c>
      <c r="L22" s="289">
        <v>0</v>
      </c>
      <c r="M22" s="290">
        <v>0</v>
      </c>
      <c r="N22" s="291">
        <v>0</v>
      </c>
      <c r="O22" s="391">
        <f t="shared" si="1"/>
        <v>0</v>
      </c>
      <c r="P22" s="392">
        <f t="shared" si="2"/>
        <v>5</v>
      </c>
      <c r="Q22" s="25">
        <f>'t1'!M22</f>
        <v>5</v>
      </c>
    </row>
    <row r="23" spans="1:17" ht="14.1" customHeight="1" x14ac:dyDescent="0.2">
      <c r="A23" s="129" t="str">
        <f>'t1'!A23</f>
        <v>POSIZIONE ECONOMICA B2</v>
      </c>
      <c r="B23" s="195" t="str">
        <f>'t1'!B23</f>
        <v>032000</v>
      </c>
      <c r="C23" s="287">
        <v>65</v>
      </c>
      <c r="D23" s="288">
        <v>59</v>
      </c>
      <c r="E23" s="287">
        <v>101</v>
      </c>
      <c r="F23" s="288">
        <v>258</v>
      </c>
      <c r="G23" s="287">
        <v>7</v>
      </c>
      <c r="H23" s="289">
        <v>20</v>
      </c>
      <c r="I23" s="436">
        <v>1</v>
      </c>
      <c r="J23" s="289">
        <v>4</v>
      </c>
      <c r="K23" s="436">
        <v>0</v>
      </c>
      <c r="L23" s="289">
        <v>1</v>
      </c>
      <c r="M23" s="290">
        <v>0</v>
      </c>
      <c r="N23" s="291">
        <v>0</v>
      </c>
      <c r="O23" s="391">
        <f t="shared" si="1"/>
        <v>174</v>
      </c>
      <c r="P23" s="392">
        <f t="shared" si="2"/>
        <v>342</v>
      </c>
      <c r="Q23" s="25">
        <f>'t1'!M23</f>
        <v>516</v>
      </c>
    </row>
    <row r="24" spans="1:17" ht="14.1" customHeight="1" x14ac:dyDescent="0.2">
      <c r="A24" s="129" t="str">
        <f>'t1'!A24</f>
        <v>POSIZIONE ECONOMICA B1</v>
      </c>
      <c r="B24" s="195" t="str">
        <f>'t1'!B24</f>
        <v>030000</v>
      </c>
      <c r="C24" s="287">
        <v>13</v>
      </c>
      <c r="D24" s="288">
        <v>0</v>
      </c>
      <c r="E24" s="287">
        <v>5</v>
      </c>
      <c r="F24" s="288">
        <v>2</v>
      </c>
      <c r="G24" s="287">
        <v>3</v>
      </c>
      <c r="H24" s="289">
        <v>0</v>
      </c>
      <c r="I24" s="436">
        <v>0</v>
      </c>
      <c r="J24" s="289">
        <v>0</v>
      </c>
      <c r="K24" s="436">
        <v>0</v>
      </c>
      <c r="L24" s="289">
        <v>0</v>
      </c>
      <c r="M24" s="290">
        <v>0</v>
      </c>
      <c r="N24" s="291">
        <v>0</v>
      </c>
      <c r="O24" s="391">
        <f t="shared" si="1"/>
        <v>21</v>
      </c>
      <c r="P24" s="392">
        <f t="shared" si="2"/>
        <v>2</v>
      </c>
      <c r="Q24" s="25">
        <f>'t1'!M24</f>
        <v>23</v>
      </c>
    </row>
    <row r="25" spans="1:17" ht="14.1" customHeight="1" x14ac:dyDescent="0.2">
      <c r="A25" s="129" t="str">
        <f>'t1'!A25</f>
        <v>POS. EC. B3-GUARDIA  FORESTALE 5 A.</v>
      </c>
      <c r="B25" s="195" t="str">
        <f>'t1'!B25</f>
        <v>034561</v>
      </c>
      <c r="C25" s="287">
        <v>5</v>
      </c>
      <c r="D25" s="288">
        <v>1</v>
      </c>
      <c r="E25" s="287">
        <v>20</v>
      </c>
      <c r="F25" s="288">
        <v>6</v>
      </c>
      <c r="G25" s="287">
        <v>2</v>
      </c>
      <c r="H25" s="289">
        <v>4</v>
      </c>
      <c r="I25" s="436">
        <v>2</v>
      </c>
      <c r="J25" s="289">
        <v>1</v>
      </c>
      <c r="K25" s="436">
        <v>0</v>
      </c>
      <c r="L25" s="289">
        <v>0</v>
      </c>
      <c r="M25" s="290">
        <v>0</v>
      </c>
      <c r="N25" s="291">
        <v>0</v>
      </c>
      <c r="O25" s="391">
        <f t="shared" si="1"/>
        <v>29</v>
      </c>
      <c r="P25" s="392">
        <f t="shared" si="2"/>
        <v>12</v>
      </c>
      <c r="Q25" s="25">
        <f>'t1'!M25</f>
        <v>41</v>
      </c>
    </row>
    <row r="26" spans="1:17" ht="14.1" customHeight="1" x14ac:dyDescent="0.2">
      <c r="A26" s="129" t="str">
        <f>'t1'!A26</f>
        <v>POS. EC. B2-GUARDIA  FORESTALE</v>
      </c>
      <c r="B26" s="195" t="str">
        <f>'t1'!B26</f>
        <v>032561</v>
      </c>
      <c r="C26" s="287">
        <v>1</v>
      </c>
      <c r="D26" s="288">
        <v>0</v>
      </c>
      <c r="E26" s="287">
        <v>4</v>
      </c>
      <c r="F26" s="288">
        <v>4</v>
      </c>
      <c r="G26" s="287">
        <v>5</v>
      </c>
      <c r="H26" s="289">
        <v>3</v>
      </c>
      <c r="I26" s="436">
        <v>4</v>
      </c>
      <c r="J26" s="289">
        <v>3</v>
      </c>
      <c r="K26" s="436">
        <v>0</v>
      </c>
      <c r="L26" s="289">
        <v>0</v>
      </c>
      <c r="M26" s="290">
        <v>0</v>
      </c>
      <c r="N26" s="291">
        <v>0</v>
      </c>
      <c r="O26" s="391">
        <f t="shared" ref="O26:O33" si="3">SUM(C26,E26,G26,I26,K26,M26)</f>
        <v>14</v>
      </c>
      <c r="P26" s="392">
        <f t="shared" ref="P26:P33" si="4">SUM(D26,F26,H26,J26,L26,N26)</f>
        <v>10</v>
      </c>
      <c r="Q26" s="25">
        <f>'t1'!M26</f>
        <v>24</v>
      </c>
    </row>
    <row r="27" spans="1:17" ht="14.1" customHeight="1" x14ac:dyDescent="0.2">
      <c r="A27" s="129" t="str">
        <f>'t1'!A27</f>
        <v>POSIZIONE ECONOMICA B1 - FORESTALE</v>
      </c>
      <c r="B27" s="195" t="str">
        <f>'t1'!B27</f>
        <v>030FOR</v>
      </c>
      <c r="C27" s="287">
        <v>0</v>
      </c>
      <c r="D27" s="288">
        <v>0</v>
      </c>
      <c r="E27" s="287">
        <v>0</v>
      </c>
      <c r="F27" s="288">
        <v>0</v>
      </c>
      <c r="G27" s="287">
        <v>0</v>
      </c>
      <c r="H27" s="289">
        <v>0</v>
      </c>
      <c r="I27" s="436">
        <v>0</v>
      </c>
      <c r="J27" s="289">
        <v>0</v>
      </c>
      <c r="K27" s="436">
        <v>0</v>
      </c>
      <c r="L27" s="289">
        <v>0</v>
      </c>
      <c r="M27" s="290">
        <v>0</v>
      </c>
      <c r="N27" s="291">
        <v>0</v>
      </c>
      <c r="O27" s="391">
        <f t="shared" si="3"/>
        <v>0</v>
      </c>
      <c r="P27" s="392">
        <f t="shared" si="4"/>
        <v>0</v>
      </c>
      <c r="Q27" s="25">
        <f>'t1'!M27</f>
        <v>0</v>
      </c>
    </row>
    <row r="28" spans="1:17" ht="14.1" customHeight="1" x14ac:dyDescent="0.2">
      <c r="A28" s="129" t="str">
        <f>'t1'!A28</f>
        <v>POSIZIONE ECONOMICA B3  VIGILE DEL FUOCO &gt; 5 ANNI</v>
      </c>
      <c r="B28" s="195" t="str">
        <f>'t1'!B28</f>
        <v>034VF5</v>
      </c>
      <c r="C28" s="287">
        <v>25</v>
      </c>
      <c r="D28" s="288">
        <v>0</v>
      </c>
      <c r="E28" s="287">
        <v>69</v>
      </c>
      <c r="F28" s="288">
        <v>0</v>
      </c>
      <c r="G28" s="287">
        <v>4</v>
      </c>
      <c r="H28" s="289">
        <v>0</v>
      </c>
      <c r="I28" s="436">
        <v>1</v>
      </c>
      <c r="J28" s="289">
        <v>0</v>
      </c>
      <c r="K28" s="436">
        <v>0</v>
      </c>
      <c r="L28" s="289">
        <v>0</v>
      </c>
      <c r="M28" s="290">
        <v>0</v>
      </c>
      <c r="N28" s="291">
        <v>0</v>
      </c>
      <c r="O28" s="391">
        <f t="shared" si="3"/>
        <v>99</v>
      </c>
      <c r="P28" s="392">
        <f t="shared" si="4"/>
        <v>0</v>
      </c>
      <c r="Q28" s="25">
        <f>'t1'!M28</f>
        <v>99</v>
      </c>
    </row>
    <row r="29" spans="1:17" ht="14.1" customHeight="1" x14ac:dyDescent="0.2">
      <c r="A29" s="129" t="str">
        <f>'t1'!A29</f>
        <v>POSIZIONE ECONOMICA B2  VIGILE DEL FUOCO</v>
      </c>
      <c r="B29" s="195" t="str">
        <f>'t1'!B29</f>
        <v>032VF1</v>
      </c>
      <c r="C29" s="287">
        <v>3</v>
      </c>
      <c r="D29" s="288">
        <v>0</v>
      </c>
      <c r="E29" s="287">
        <v>14</v>
      </c>
      <c r="F29" s="288">
        <v>0</v>
      </c>
      <c r="G29" s="287">
        <v>2</v>
      </c>
      <c r="H29" s="289">
        <v>0</v>
      </c>
      <c r="I29" s="436">
        <v>0</v>
      </c>
      <c r="J29" s="289">
        <v>0</v>
      </c>
      <c r="K29" s="436">
        <v>0</v>
      </c>
      <c r="L29" s="289">
        <v>0</v>
      </c>
      <c r="M29" s="290">
        <v>0</v>
      </c>
      <c r="N29" s="291">
        <v>0</v>
      </c>
      <c r="O29" s="391">
        <f t="shared" si="3"/>
        <v>19</v>
      </c>
      <c r="P29" s="392">
        <f t="shared" si="4"/>
        <v>0</v>
      </c>
      <c r="Q29" s="25">
        <f>'t1'!M29</f>
        <v>19</v>
      </c>
    </row>
    <row r="30" spans="1:17" ht="14.1" customHeight="1" x14ac:dyDescent="0.2">
      <c r="A30" s="129" t="str">
        <f>'t1'!A30</f>
        <v>POSIZIONE ECONOMICA A</v>
      </c>
      <c r="B30" s="195" t="str">
        <f>'t1'!B30</f>
        <v>022000</v>
      </c>
      <c r="C30" s="287">
        <v>30</v>
      </c>
      <c r="D30" s="288">
        <v>143</v>
      </c>
      <c r="E30" s="287">
        <v>10</v>
      </c>
      <c r="F30" s="288">
        <v>37</v>
      </c>
      <c r="G30" s="287">
        <v>0</v>
      </c>
      <c r="H30" s="289">
        <v>0</v>
      </c>
      <c r="I30" s="436">
        <v>0</v>
      </c>
      <c r="J30" s="289">
        <v>0</v>
      </c>
      <c r="K30" s="436">
        <v>0</v>
      </c>
      <c r="L30" s="289">
        <v>0</v>
      </c>
      <c r="M30" s="290">
        <v>0</v>
      </c>
      <c r="N30" s="291">
        <v>0</v>
      </c>
      <c r="O30" s="391">
        <f t="shared" si="3"/>
        <v>40</v>
      </c>
      <c r="P30" s="392">
        <f t="shared" si="4"/>
        <v>180</v>
      </c>
      <c r="Q30" s="25">
        <f>'t1'!M30</f>
        <v>220</v>
      </c>
    </row>
    <row r="31" spans="1:17" ht="14.1" customHeight="1" x14ac:dyDescent="0.2">
      <c r="A31" s="129" t="str">
        <f>'t1'!A31</f>
        <v>CONTRATTISTI</v>
      </c>
      <c r="B31" s="195" t="str">
        <f>'t1'!B31</f>
        <v>000061</v>
      </c>
      <c r="C31" s="287">
        <f>3+55</f>
        <v>58</v>
      </c>
      <c r="D31" s="288">
        <v>7</v>
      </c>
      <c r="E31" s="287">
        <v>37</v>
      </c>
      <c r="F31" s="288">
        <v>16</v>
      </c>
      <c r="G31" s="287">
        <v>0</v>
      </c>
      <c r="H31" s="289">
        <v>0</v>
      </c>
      <c r="I31" s="436">
        <v>2</v>
      </c>
      <c r="J31" s="289">
        <v>8</v>
      </c>
      <c r="K31" s="436">
        <v>0</v>
      </c>
      <c r="L31" s="289">
        <v>0</v>
      </c>
      <c r="M31" s="290">
        <v>0</v>
      </c>
      <c r="N31" s="291">
        <v>0</v>
      </c>
      <c r="O31" s="391">
        <f t="shared" si="3"/>
        <v>97</v>
      </c>
      <c r="P31" s="392">
        <f t="shared" si="4"/>
        <v>31</v>
      </c>
      <c r="Q31" s="25">
        <f>'t1'!M31</f>
        <v>128</v>
      </c>
    </row>
    <row r="32" spans="1:17" ht="14.1" customHeight="1" x14ac:dyDescent="0.2">
      <c r="A32" s="129" t="str">
        <f>'t1'!A32</f>
        <v>SEGRETARIO GENERALE CCIAA</v>
      </c>
      <c r="B32" s="195" t="str">
        <f>'t1'!B32</f>
        <v>0D0104</v>
      </c>
      <c r="C32" s="287">
        <v>0</v>
      </c>
      <c r="D32" s="288">
        <v>0</v>
      </c>
      <c r="E32" s="287">
        <v>0</v>
      </c>
      <c r="F32" s="288">
        <v>0</v>
      </c>
      <c r="G32" s="287">
        <v>0</v>
      </c>
      <c r="H32" s="289">
        <v>0</v>
      </c>
      <c r="I32" s="436">
        <v>0</v>
      </c>
      <c r="J32" s="289">
        <v>0</v>
      </c>
      <c r="K32" s="436">
        <v>0</v>
      </c>
      <c r="L32" s="289">
        <v>0</v>
      </c>
      <c r="M32" s="290">
        <v>0</v>
      </c>
      <c r="N32" s="291">
        <v>0</v>
      </c>
      <c r="O32" s="391">
        <f t="shared" si="3"/>
        <v>0</v>
      </c>
      <c r="P32" s="392">
        <f t="shared" si="4"/>
        <v>0</v>
      </c>
      <c r="Q32" s="25">
        <f>'t1'!M32</f>
        <v>0</v>
      </c>
    </row>
    <row r="33" spans="1:20" ht="14.1" customHeight="1" thickBot="1" x14ac:dyDescent="0.25">
      <c r="A33" s="129" t="str">
        <f>'t1'!A33</f>
        <v>COLLABORATORE A TEMPO DETERMINATO</v>
      </c>
      <c r="B33" s="195" t="str">
        <f>'t1'!B33</f>
        <v>000096</v>
      </c>
      <c r="C33" s="287">
        <v>0</v>
      </c>
      <c r="D33" s="288">
        <v>0</v>
      </c>
      <c r="E33" s="287">
        <v>3</v>
      </c>
      <c r="F33" s="288">
        <v>1</v>
      </c>
      <c r="G33" s="287">
        <v>0</v>
      </c>
      <c r="H33" s="289">
        <v>1</v>
      </c>
      <c r="I33" s="436">
        <v>2</v>
      </c>
      <c r="J33" s="289">
        <v>3</v>
      </c>
      <c r="K33" s="436">
        <v>0</v>
      </c>
      <c r="L33" s="289">
        <v>0</v>
      </c>
      <c r="M33" s="290">
        <v>0</v>
      </c>
      <c r="N33" s="291">
        <v>1</v>
      </c>
      <c r="O33" s="391">
        <f t="shared" si="3"/>
        <v>5</v>
      </c>
      <c r="P33" s="392">
        <f t="shared" si="4"/>
        <v>6</v>
      </c>
      <c r="Q33" s="25">
        <f>'t1'!M33</f>
        <v>11</v>
      </c>
    </row>
    <row r="34" spans="1:20" ht="12" customHeight="1" thickTop="1" thickBot="1" x14ac:dyDescent="0.25">
      <c r="A34" s="28" t="s">
        <v>71</v>
      </c>
      <c r="B34" s="29"/>
      <c r="C34" s="393">
        <f t="shared" ref="C34:P34" si="5">SUM(C6:C33)</f>
        <v>215</v>
      </c>
      <c r="D34" s="394">
        <f t="shared" si="5"/>
        <v>217</v>
      </c>
      <c r="E34" s="393">
        <f t="shared" si="5"/>
        <v>588</v>
      </c>
      <c r="F34" s="394">
        <f t="shared" si="5"/>
        <v>720</v>
      </c>
      <c r="G34" s="393">
        <f t="shared" si="5"/>
        <v>83</v>
      </c>
      <c r="H34" s="394">
        <f t="shared" si="5"/>
        <v>201</v>
      </c>
      <c r="I34" s="437">
        <f t="shared" si="5"/>
        <v>198</v>
      </c>
      <c r="J34" s="394">
        <f t="shared" si="5"/>
        <v>287</v>
      </c>
      <c r="K34" s="437">
        <f t="shared" si="5"/>
        <v>6</v>
      </c>
      <c r="L34" s="394">
        <f t="shared" si="5"/>
        <v>20</v>
      </c>
      <c r="M34" s="438">
        <f t="shared" si="5"/>
        <v>14</v>
      </c>
      <c r="N34" s="394">
        <f t="shared" si="5"/>
        <v>14</v>
      </c>
      <c r="O34" s="393">
        <f t="shared" si="5"/>
        <v>1104</v>
      </c>
      <c r="P34" s="394">
        <f t="shared" si="5"/>
        <v>1459</v>
      </c>
      <c r="Q34" s="25">
        <f>'t1'!M34</f>
        <v>0</v>
      </c>
    </row>
    <row r="35" spans="1:20" ht="18" customHeight="1" x14ac:dyDescent="0.2">
      <c r="A35" s="17" t="str">
        <f>'t1'!$A$35</f>
        <v>(a) personale a tempo indeterminato al quale viene applicato un contratto di lavoro di tipo privatistico (es.:tipografico,chimico,edile,metalmeccanico,portierato, ecc.)</v>
      </c>
      <c r="B35" s="2"/>
      <c r="C35" s="3"/>
      <c r="D35" s="3"/>
      <c r="E35" s="3"/>
      <c r="F35" s="3"/>
      <c r="G35" s="3"/>
      <c r="H35" s="3"/>
      <c r="I35" s="3"/>
      <c r="J35" s="3"/>
      <c r="K35" s="3"/>
      <c r="L35" s="3"/>
      <c r="M35" s="3"/>
      <c r="N35" s="3"/>
      <c r="O35" s="63"/>
      <c r="P35" s="30"/>
      <c r="Q35" s="25">
        <f>'t1'!M35</f>
        <v>0</v>
      </c>
      <c r="R35" s="30"/>
      <c r="S35" s="30"/>
      <c r="T35" s="30"/>
    </row>
    <row r="36" spans="1:20" s="3" customFormat="1" x14ac:dyDescent="0.2">
      <c r="A36" s="17" t="str">
        <f>'t1'!$A$36</f>
        <v>(b) cfr." istruzioni generali e specifiche di comparto" e "glossario"</v>
      </c>
      <c r="B36" s="2"/>
      <c r="Q36" s="25">
        <f>'t1'!M36</f>
        <v>0</v>
      </c>
    </row>
  </sheetData>
  <sheetProtection password="DD41" sheet="1" formatColumns="0" selectLockedCells="1"/>
  <mergeCells count="6">
    <mergeCell ref="M3:P3"/>
    <mergeCell ref="A1:N1"/>
    <mergeCell ref="G4:H4"/>
    <mergeCell ref="I4:J4"/>
    <mergeCell ref="M4:N4"/>
    <mergeCell ref="K4:L4"/>
  </mergeCells>
  <phoneticPr fontId="30" type="noConversion"/>
  <conditionalFormatting sqref="A6:P33">
    <cfRule type="expression" dxfId="25" priority="1" stopIfTrue="1">
      <formula>$Q6&gt;0</formula>
    </cfRule>
  </conditionalFormatting>
  <printOptions horizontalCentered="1" verticalCentered="1"/>
  <pageMargins left="0" right="0" top="0.19685039370078741" bottom="0.15748031496062992" header="0.19685039370078741" footer="0.15748031496062992"/>
  <pageSetup paperSize="9" scale="74"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7">
    <pageSetUpPr fitToPage="1"/>
  </sheetPr>
  <dimension ref="A1:AZ36"/>
  <sheetViews>
    <sheetView showGridLines="0" workbookViewId="0">
      <pane xSplit="2" ySplit="5" topLeftCell="AB16" activePane="bottomRight" state="frozen"/>
      <selection activeCell="A2" sqref="A2"/>
      <selection pane="topRight" activeCell="A2" sqref="A2"/>
      <selection pane="bottomLeft" activeCell="A2" sqref="A2"/>
      <selection pane="bottomRight" activeCell="AO9" sqref="AO9"/>
    </sheetView>
  </sheetViews>
  <sheetFormatPr defaultColWidth="9.33203125" defaultRowHeight="17.25" customHeight="1" x14ac:dyDescent="0.2"/>
  <cols>
    <col min="1" max="1" width="43.33203125" style="3" customWidth="1"/>
    <col min="2" max="2" width="8.6640625" style="2" bestFit="1" customWidth="1"/>
    <col min="3" max="26" width="7.6640625" style="3" customWidth="1"/>
    <col min="27" max="48" width="8.5" style="3" customWidth="1"/>
    <col min="49" max="49" width="15.1640625" style="604" bestFit="1" customWidth="1"/>
    <col min="50" max="51" width="8.6640625" style="3" customWidth="1"/>
    <col min="52" max="52" width="9.33203125" style="3" hidden="1" customWidth="1"/>
    <col min="53" max="16384" width="9.33203125" style="3"/>
  </cols>
  <sheetData>
    <row r="1" spans="1:52" ht="43.5" customHeight="1" x14ac:dyDescent="0.2">
      <c r="A1" s="1523" t="s">
        <v>334</v>
      </c>
      <c r="C1" s="1486" t="str">
        <f>'t1'!A1</f>
        <v>REGIONE VALLE D'AOSTA - anno 2024</v>
      </c>
      <c r="D1" s="1486"/>
      <c r="E1" s="1486"/>
      <c r="F1" s="1486"/>
      <c r="G1" s="1486"/>
      <c r="H1" s="1486"/>
      <c r="I1" s="1486"/>
      <c r="J1" s="1486"/>
      <c r="K1" s="1486"/>
      <c r="L1" s="1486"/>
      <c r="M1" s="1486"/>
      <c r="N1" s="1486"/>
      <c r="O1" s="1486"/>
      <c r="P1" s="1486"/>
      <c r="Q1" s="1486"/>
      <c r="R1" s="1486"/>
      <c r="S1" s="1486"/>
      <c r="T1" s="1486"/>
      <c r="U1" s="1486"/>
      <c r="V1" s="1486"/>
      <c r="W1" s="1486"/>
      <c r="Z1" s="270"/>
      <c r="AA1" s="1486" t="str">
        <f>C1</f>
        <v>REGIONE VALLE D'AOSTA - anno 2024</v>
      </c>
      <c r="AB1" s="1486"/>
      <c r="AC1" s="1486"/>
      <c r="AD1" s="1486"/>
      <c r="AE1" s="1486"/>
      <c r="AF1" s="1486"/>
      <c r="AG1" s="1486"/>
      <c r="AH1" s="1486"/>
      <c r="AI1" s="1486"/>
      <c r="AJ1" s="1486"/>
      <c r="AK1" s="1486"/>
      <c r="AL1" s="1486"/>
      <c r="AM1" s="1486"/>
      <c r="AN1" s="1486"/>
      <c r="AO1" s="1486"/>
      <c r="AP1" s="1486"/>
      <c r="AQ1" s="1486"/>
      <c r="AR1" s="1486"/>
      <c r="AS1" s="1486"/>
      <c r="AV1" s="270"/>
      <c r="AY1" s="605"/>
    </row>
    <row r="2" spans="1:52" ht="30" customHeight="1" thickBot="1" x14ac:dyDescent="0.25">
      <c r="A2" s="1524"/>
      <c r="S2" s="1487"/>
      <c r="T2" s="1487"/>
      <c r="U2" s="1487"/>
      <c r="V2" s="1487"/>
      <c r="W2" s="1487"/>
      <c r="X2" s="1487"/>
      <c r="Y2" s="1487"/>
      <c r="Z2" s="1487"/>
      <c r="AO2" s="1487"/>
      <c r="AP2" s="1487"/>
      <c r="AQ2" s="1487"/>
      <c r="AR2" s="1487"/>
      <c r="AS2" s="1487"/>
      <c r="AT2" s="1487"/>
      <c r="AU2" s="1487"/>
      <c r="AV2" s="1487"/>
    </row>
    <row r="3" spans="1:52" ht="12" thickBot="1" x14ac:dyDescent="0.25">
      <c r="A3" s="7"/>
      <c r="B3" s="751" t="s">
        <v>245</v>
      </c>
      <c r="C3" s="106"/>
      <c r="D3" s="9"/>
      <c r="E3" s="9"/>
      <c r="F3" s="9"/>
      <c r="G3" s="9"/>
      <c r="H3" s="9"/>
      <c r="I3" s="9"/>
      <c r="J3" s="9"/>
      <c r="K3" s="9"/>
      <c r="L3" s="9"/>
      <c r="M3" s="9"/>
      <c r="N3" s="9"/>
      <c r="O3" s="9"/>
      <c r="P3" s="9"/>
      <c r="Q3" s="9"/>
      <c r="R3" s="9"/>
      <c r="S3" s="9"/>
      <c r="T3" s="9"/>
      <c r="U3" s="9"/>
      <c r="V3" s="9"/>
      <c r="W3" s="9"/>
      <c r="X3" s="232"/>
      <c r="Y3" s="232"/>
      <c r="Z3" s="103"/>
      <c r="AA3" s="232"/>
      <c r="AB3" s="232"/>
      <c r="AC3" s="232"/>
      <c r="AD3" s="232"/>
      <c r="AE3" s="232"/>
      <c r="AF3" s="232"/>
      <c r="AG3" s="232"/>
      <c r="AH3" s="232"/>
      <c r="AI3" s="232"/>
      <c r="AJ3" s="232"/>
      <c r="AK3" s="232"/>
      <c r="AL3" s="232"/>
      <c r="AM3" s="232"/>
      <c r="AN3" s="232"/>
      <c r="AO3" s="232"/>
      <c r="AP3" s="232"/>
      <c r="AQ3" s="232"/>
      <c r="AR3" s="232"/>
      <c r="AS3" s="232"/>
      <c r="AT3" s="232"/>
      <c r="AU3" s="232"/>
      <c r="AV3" s="233"/>
      <c r="AX3" s="606"/>
      <c r="AY3" s="607"/>
    </row>
    <row r="4" spans="1:52" ht="34.5" thickTop="1" x14ac:dyDescent="0.2">
      <c r="A4" s="18" t="s">
        <v>140</v>
      </c>
      <c r="B4" s="752" t="s">
        <v>107</v>
      </c>
      <c r="C4" s="107" t="s">
        <v>304</v>
      </c>
      <c r="D4" s="108"/>
      <c r="E4" s="109" t="s">
        <v>423</v>
      </c>
      <c r="F4" s="108"/>
      <c r="G4" s="1464" t="s">
        <v>121</v>
      </c>
      <c r="H4" s="1508"/>
      <c r="I4" s="109" t="s">
        <v>122</v>
      </c>
      <c r="J4" s="109"/>
      <c r="K4" s="109" t="s">
        <v>119</v>
      </c>
      <c r="L4" s="109"/>
      <c r="M4" s="109" t="s">
        <v>113</v>
      </c>
      <c r="N4" s="110"/>
      <c r="O4" s="109" t="s">
        <v>305</v>
      </c>
      <c r="P4" s="109"/>
      <c r="Q4" s="109" t="s">
        <v>117</v>
      </c>
      <c r="R4" s="108"/>
      <c r="S4" s="107" t="s">
        <v>112</v>
      </c>
      <c r="T4" s="109"/>
      <c r="U4" s="109" t="s">
        <v>110</v>
      </c>
      <c r="V4" s="110"/>
      <c r="W4" s="109" t="s">
        <v>116</v>
      </c>
      <c r="X4" s="108"/>
      <c r="Y4" s="109" t="s">
        <v>118</v>
      </c>
      <c r="Z4" s="108"/>
      <c r="AA4" s="109" t="s">
        <v>109</v>
      </c>
      <c r="AB4" s="108"/>
      <c r="AC4" s="109" t="s">
        <v>120</v>
      </c>
      <c r="AD4" s="110"/>
      <c r="AE4" s="109" t="s">
        <v>124</v>
      </c>
      <c r="AF4" s="109"/>
      <c r="AG4" s="109" t="s">
        <v>123</v>
      </c>
      <c r="AH4" s="111"/>
      <c r="AI4" s="109" t="s">
        <v>114</v>
      </c>
      <c r="AJ4" s="110"/>
      <c r="AK4" s="109" t="s">
        <v>115</v>
      </c>
      <c r="AL4" s="109"/>
      <c r="AM4" s="109" t="s">
        <v>108</v>
      </c>
      <c r="AN4" s="110"/>
      <c r="AO4" s="109" t="s">
        <v>111</v>
      </c>
      <c r="AP4" s="108"/>
      <c r="AQ4" s="109" t="s">
        <v>306</v>
      </c>
      <c r="AR4" s="108"/>
      <c r="AS4" s="110" t="s">
        <v>307</v>
      </c>
      <c r="AT4" s="107"/>
      <c r="AU4" s="110" t="s">
        <v>71</v>
      </c>
      <c r="AV4" s="111"/>
      <c r="AX4" s="608" t="s">
        <v>537</v>
      </c>
      <c r="AY4" s="609"/>
    </row>
    <row r="5" spans="1:52" s="231" customFormat="1" ht="11.25" thickBot="1" x14ac:dyDescent="0.2">
      <c r="A5" s="750" t="s">
        <v>635</v>
      </c>
      <c r="B5" s="753"/>
      <c r="C5" s="227" t="s">
        <v>69</v>
      </c>
      <c r="D5" s="228" t="s">
        <v>70</v>
      </c>
      <c r="E5" s="227" t="s">
        <v>69</v>
      </c>
      <c r="F5" s="228" t="s">
        <v>70</v>
      </c>
      <c r="G5" s="227" t="s">
        <v>69</v>
      </c>
      <c r="H5" s="228" t="s">
        <v>70</v>
      </c>
      <c r="I5" s="227" t="s">
        <v>69</v>
      </c>
      <c r="J5" s="228" t="s">
        <v>70</v>
      </c>
      <c r="K5" s="227" t="s">
        <v>69</v>
      </c>
      <c r="L5" s="228" t="s">
        <v>70</v>
      </c>
      <c r="M5" s="227" t="s">
        <v>69</v>
      </c>
      <c r="N5" s="229" t="s">
        <v>70</v>
      </c>
      <c r="O5" s="227" t="s">
        <v>69</v>
      </c>
      <c r="P5" s="229" t="s">
        <v>70</v>
      </c>
      <c r="Q5" s="227" t="s">
        <v>69</v>
      </c>
      <c r="R5" s="229" t="s">
        <v>70</v>
      </c>
      <c r="S5" s="227" t="s">
        <v>69</v>
      </c>
      <c r="T5" s="229" t="s">
        <v>70</v>
      </c>
      <c r="U5" s="227" t="s">
        <v>69</v>
      </c>
      <c r="V5" s="229" t="s">
        <v>70</v>
      </c>
      <c r="W5" s="227" t="s">
        <v>69</v>
      </c>
      <c r="X5" s="228" t="s">
        <v>70</v>
      </c>
      <c r="Y5" s="227" t="s">
        <v>69</v>
      </c>
      <c r="Z5" s="228" t="s">
        <v>70</v>
      </c>
      <c r="AA5" s="227" t="s">
        <v>69</v>
      </c>
      <c r="AB5" s="228" t="s">
        <v>70</v>
      </c>
      <c r="AC5" s="227" t="s">
        <v>69</v>
      </c>
      <c r="AD5" s="229" t="s">
        <v>70</v>
      </c>
      <c r="AE5" s="227" t="s">
        <v>69</v>
      </c>
      <c r="AF5" s="229" t="s">
        <v>70</v>
      </c>
      <c r="AG5" s="227" t="s">
        <v>69</v>
      </c>
      <c r="AH5" s="229" t="s">
        <v>70</v>
      </c>
      <c r="AI5" s="227" t="s">
        <v>69</v>
      </c>
      <c r="AJ5" s="229" t="s">
        <v>70</v>
      </c>
      <c r="AK5" s="227" t="s">
        <v>69</v>
      </c>
      <c r="AL5" s="229" t="s">
        <v>70</v>
      </c>
      <c r="AM5" s="227" t="s">
        <v>69</v>
      </c>
      <c r="AN5" s="229" t="s">
        <v>70</v>
      </c>
      <c r="AO5" s="227" t="s">
        <v>69</v>
      </c>
      <c r="AP5" s="228" t="s">
        <v>70</v>
      </c>
      <c r="AQ5" s="227" t="s">
        <v>69</v>
      </c>
      <c r="AR5" s="228" t="s">
        <v>70</v>
      </c>
      <c r="AS5" s="230" t="s">
        <v>69</v>
      </c>
      <c r="AT5" s="228" t="s">
        <v>70</v>
      </c>
      <c r="AU5" s="230" t="s">
        <v>69</v>
      </c>
      <c r="AV5" s="229" t="s">
        <v>70</v>
      </c>
      <c r="AW5" s="610"/>
      <c r="AX5" s="611" t="s">
        <v>69</v>
      </c>
      <c r="AY5" s="612" t="s">
        <v>70</v>
      </c>
    </row>
    <row r="6" spans="1:52" ht="12.75" customHeight="1" thickTop="1" x14ac:dyDescent="0.2">
      <c r="A6" s="16" t="str">
        <f>'t1'!A6</f>
        <v>SEGRETARIO I FASCIA</v>
      </c>
      <c r="B6" s="128" t="str">
        <f>'t1'!B6</f>
        <v>0D0102</v>
      </c>
      <c r="C6" s="184"/>
      <c r="D6" s="217"/>
      <c r="E6" s="184"/>
      <c r="F6" s="217"/>
      <c r="G6" s="184"/>
      <c r="H6" s="217"/>
      <c r="I6" s="184"/>
      <c r="J6" s="217"/>
      <c r="K6" s="184"/>
      <c r="L6" s="217"/>
      <c r="M6" s="184"/>
      <c r="N6" s="217"/>
      <c r="O6" s="184"/>
      <c r="P6" s="217"/>
      <c r="Q6" s="184"/>
      <c r="R6" s="217"/>
      <c r="S6" s="184"/>
      <c r="T6" s="217"/>
      <c r="U6" s="184"/>
      <c r="V6" s="217"/>
      <c r="W6" s="184"/>
      <c r="X6" s="217"/>
      <c r="Y6" s="184"/>
      <c r="Z6" s="217"/>
      <c r="AA6" s="184"/>
      <c r="AB6" s="217"/>
      <c r="AC6" s="184"/>
      <c r="AD6" s="217"/>
      <c r="AE6" s="184"/>
      <c r="AF6" s="217"/>
      <c r="AG6" s="184"/>
      <c r="AH6" s="217"/>
      <c r="AI6" s="184"/>
      <c r="AJ6" s="217"/>
      <c r="AK6" s="184"/>
      <c r="AL6" s="217"/>
      <c r="AM6" s="184"/>
      <c r="AN6" s="217"/>
      <c r="AO6" s="184"/>
      <c r="AP6" s="217"/>
      <c r="AQ6" s="184"/>
      <c r="AR6" s="217"/>
      <c r="AS6" s="184"/>
      <c r="AT6" s="217"/>
      <c r="AU6" s="395">
        <f>SUM(S6,U6,W6,Y6,C6,E6,G6,I6,K6,M6,O6,Q6,AA6,AC6,AE6,AG6,AI6,AK6,AM6,AO6,AQ6,AS6)</f>
        <v>0</v>
      </c>
      <c r="AV6" s="364">
        <f>SUM(T6,V6,X6,Z6,D6,F6,H6,J6,L6,N6,P6,R6,AB6,AD6,AF6,AH6,AJ6,AL6,AN6,AP6,AR6,AT6)</f>
        <v>0</v>
      </c>
      <c r="AW6" s="613" t="str">
        <f>IF((AU6+AV6)=(AX6+AY6),"OK","Controllare totale")</f>
        <v>OK</v>
      </c>
      <c r="AX6" s="614">
        <f>'t1'!K6-'t3'!C6-'t3'!E6-'t3'!G6-'t3'!I6+'t3'!K6+'t3'!M6+'t3'!O6</f>
        <v>0</v>
      </c>
      <c r="AY6" s="615">
        <f>'t1'!L6-'t3'!D6-'t3'!F6-'t3'!H6-'t3'!J6+'t3'!L6+'t3'!N6+'t3'!P6</f>
        <v>0</v>
      </c>
      <c r="AZ6" s="3">
        <f>'t1'!M6</f>
        <v>0</v>
      </c>
    </row>
    <row r="7" spans="1:52" ht="12.75" customHeight="1" x14ac:dyDescent="0.2">
      <c r="A7" s="16" t="str">
        <f>'t1'!A7</f>
        <v>SEGRETARIO II FASCIA</v>
      </c>
      <c r="B7" s="128" t="str">
        <f>'t1'!B7</f>
        <v>0D0103</v>
      </c>
      <c r="C7" s="184"/>
      <c r="D7" s="217"/>
      <c r="E7" s="184"/>
      <c r="F7" s="217"/>
      <c r="G7" s="184"/>
      <c r="H7" s="217"/>
      <c r="I7" s="184"/>
      <c r="J7" s="217"/>
      <c r="K7" s="184"/>
      <c r="L7" s="217"/>
      <c r="M7" s="184"/>
      <c r="N7" s="217"/>
      <c r="O7" s="184"/>
      <c r="P7" s="217"/>
      <c r="Q7" s="184"/>
      <c r="R7" s="217"/>
      <c r="S7" s="184"/>
      <c r="T7" s="217"/>
      <c r="U7" s="184"/>
      <c r="V7" s="217"/>
      <c r="W7" s="184"/>
      <c r="X7" s="217"/>
      <c r="Y7" s="184"/>
      <c r="Z7" s="217"/>
      <c r="AA7" s="184"/>
      <c r="AB7" s="217"/>
      <c r="AC7" s="184"/>
      <c r="AD7" s="217"/>
      <c r="AE7" s="184"/>
      <c r="AF7" s="217"/>
      <c r="AG7" s="184"/>
      <c r="AH7" s="217"/>
      <c r="AI7" s="184"/>
      <c r="AJ7" s="217"/>
      <c r="AK7" s="184"/>
      <c r="AL7" s="217"/>
      <c r="AM7" s="184"/>
      <c r="AN7" s="217"/>
      <c r="AO7" s="184"/>
      <c r="AP7" s="217"/>
      <c r="AQ7" s="184"/>
      <c r="AR7" s="217"/>
      <c r="AS7" s="184"/>
      <c r="AT7" s="217"/>
      <c r="AU7" s="395">
        <f>SUM(S7,U7,W7,Y7,C7,E7,G7,I7,K7,M7,O7,Q7,AA7,AC7,AE7,AG7,AI7,AK7,AM7,AO7,AQ7,AS7)</f>
        <v>0</v>
      </c>
      <c r="AV7" s="364">
        <f>SUM(T7,V7,X7,Z7,D7,F7,H7,J7,L7,N7,P7,R7,AB7,AD7,AF7,AH7,AJ7,AL7,AN7,AP7,AR7,AT7)</f>
        <v>0</v>
      </c>
      <c r="AW7" s="613" t="str">
        <f>IF((AU7+AV7)=(AX7+AY7),"OK","Controllare totale")</f>
        <v>OK</v>
      </c>
      <c r="AX7" s="614">
        <f>'t1'!K7-'t3'!C7-'t3'!E7-'t3'!G7-'t3'!I7+'t3'!K7+'t3'!M7+'t3'!O7</f>
        <v>0</v>
      </c>
      <c r="AY7" s="615">
        <f>'t1'!L7-'t3'!D7-'t3'!F7-'t3'!H7-'t3'!J7+'t3'!L7+'t3'!N7+'t3'!P7</f>
        <v>0</v>
      </c>
      <c r="AZ7" s="3">
        <f>'t1'!M7</f>
        <v>0</v>
      </c>
    </row>
    <row r="8" spans="1:52" ht="12.75" customHeight="1" x14ac:dyDescent="0.2">
      <c r="A8" s="16" t="str">
        <f>'t1'!A8</f>
        <v>SEGRETARIO III FASCIA</v>
      </c>
      <c r="B8" s="128" t="str">
        <f>'t1'!B8</f>
        <v>0D0485</v>
      </c>
      <c r="C8" s="184"/>
      <c r="D8" s="217"/>
      <c r="E8" s="184"/>
      <c r="F8" s="217"/>
      <c r="G8" s="184"/>
      <c r="H8" s="217"/>
      <c r="I8" s="184"/>
      <c r="J8" s="217"/>
      <c r="K8" s="184"/>
      <c r="L8" s="217"/>
      <c r="M8" s="184"/>
      <c r="N8" s="217"/>
      <c r="O8" s="184"/>
      <c r="P8" s="217"/>
      <c r="Q8" s="184"/>
      <c r="R8" s="217"/>
      <c r="S8" s="184"/>
      <c r="T8" s="217"/>
      <c r="U8" s="184"/>
      <c r="V8" s="217"/>
      <c r="W8" s="184"/>
      <c r="X8" s="217"/>
      <c r="Y8" s="184"/>
      <c r="Z8" s="217"/>
      <c r="AA8" s="184"/>
      <c r="AB8" s="217"/>
      <c r="AC8" s="184"/>
      <c r="AD8" s="217"/>
      <c r="AE8" s="184"/>
      <c r="AF8" s="217"/>
      <c r="AG8" s="184"/>
      <c r="AH8" s="217"/>
      <c r="AI8" s="184"/>
      <c r="AJ8" s="217"/>
      <c r="AK8" s="184"/>
      <c r="AL8" s="217"/>
      <c r="AM8" s="184"/>
      <c r="AN8" s="217"/>
      <c r="AO8" s="184"/>
      <c r="AP8" s="217"/>
      <c r="AQ8" s="184"/>
      <c r="AR8" s="217"/>
      <c r="AS8" s="184"/>
      <c r="AT8" s="217"/>
      <c r="AU8" s="395">
        <f>SUM(C8,E8,G8,I8,K8,M8,O8,Q8,S8,U8,W8,Y8,AA8,AC8,AE8,AG8,AI8,AK8,AM8,AO8,AQ8,AS8)</f>
        <v>0</v>
      </c>
      <c r="AV8" s="364">
        <f>SUM(T8,V8,X8,Z8,D8,F8,H8,J8,L8,N8,P8,R8,AB8,AD8,AF8,AH8,AJ8,AL8,AN8,AP8,AR8,AT8)</f>
        <v>0</v>
      </c>
      <c r="AW8" s="613" t="str">
        <f>IF((AU8+AV8)=(AX8+AY8),"OK","Controllare totale")</f>
        <v>OK</v>
      </c>
      <c r="AX8" s="614">
        <f>'t1'!K8-'t3'!C8-'t3'!E8-'t3'!G8-'t3'!I8+'t3'!K8+'t3'!M8+'t3'!O8</f>
        <v>0</v>
      </c>
      <c r="AY8" s="615">
        <f>'t1'!L8-'t3'!D8-'t3'!F8-'t3'!H8-'t3'!J8+'t3'!L8+'t3'!N8+'t3'!P8</f>
        <v>0</v>
      </c>
      <c r="AZ8" s="3">
        <f>'t1'!M8</f>
        <v>0</v>
      </c>
    </row>
    <row r="9" spans="1:52" ht="12.75" customHeight="1" x14ac:dyDescent="0.2">
      <c r="A9" s="16" t="str">
        <f>'t1'!A9</f>
        <v>DIRIGENTI</v>
      </c>
      <c r="B9" s="128" t="str">
        <f>'t1'!B9</f>
        <v>0D0164</v>
      </c>
      <c r="C9" s="184"/>
      <c r="D9" s="217"/>
      <c r="E9" s="184"/>
      <c r="F9" s="217"/>
      <c r="G9" s="184"/>
      <c r="H9" s="217"/>
      <c r="I9" s="184"/>
      <c r="J9" s="217"/>
      <c r="K9" s="184"/>
      <c r="L9" s="217"/>
      <c r="M9" s="184"/>
      <c r="N9" s="217"/>
      <c r="O9" s="184"/>
      <c r="P9" s="217"/>
      <c r="Q9" s="184"/>
      <c r="R9" s="217"/>
      <c r="S9" s="184"/>
      <c r="T9" s="217"/>
      <c r="U9" s="184"/>
      <c r="V9" s="217"/>
      <c r="W9" s="184"/>
      <c r="X9" s="217"/>
      <c r="Y9" s="184"/>
      <c r="Z9" s="217"/>
      <c r="AA9" s="184"/>
      <c r="AB9" s="217"/>
      <c r="AC9" s="184"/>
      <c r="AD9" s="217"/>
      <c r="AE9" s="184"/>
      <c r="AF9" s="217"/>
      <c r="AG9" s="184"/>
      <c r="AH9" s="217"/>
      <c r="AI9" s="184"/>
      <c r="AJ9" s="217"/>
      <c r="AK9" s="184"/>
      <c r="AL9" s="217"/>
      <c r="AM9" s="184">
        <v>65</v>
      </c>
      <c r="AN9" s="217">
        <v>47</v>
      </c>
      <c r="AO9" s="184"/>
      <c r="AP9" s="217"/>
      <c r="AQ9" s="184"/>
      <c r="AR9" s="217"/>
      <c r="AS9" s="184"/>
      <c r="AT9" s="217"/>
      <c r="AU9" s="395">
        <f>SUM(S9,U9,W9,Y9,C9,E9,G9,I9,K9,M9,O9,Q9,AA9,AC9,AE9,AG9,AI9,AK9,AM9,AO9,AQ9,AS9)</f>
        <v>65</v>
      </c>
      <c r="AV9" s="364">
        <f>SUM(T9,V9,X9,Z9,D9,F9,H9,J9,L9,N9,P9,R9,AB9,AD9,AF9,AH9,AJ9,AL9,AN9,AP9,AR9,AT9)</f>
        <v>47</v>
      </c>
      <c r="AW9" s="613" t="str">
        <f>IF((AU9+AV9)=(AX9+AY9),"OK","Controllare totale")</f>
        <v>OK</v>
      </c>
      <c r="AX9" s="614">
        <f>'t1'!K9-'t3'!C9-'t3'!E9-'t3'!G9-'t3'!I9+'t3'!K9+'t3'!M9+'t3'!O9</f>
        <v>65</v>
      </c>
      <c r="AY9" s="615">
        <f>'t1'!L9-'t3'!D9-'t3'!F9-'t3'!H9-'t3'!J9+'t3'!L9+'t3'!N9+'t3'!P9</f>
        <v>47</v>
      </c>
      <c r="AZ9" s="3">
        <f>'t1'!M9</f>
        <v>112</v>
      </c>
    </row>
    <row r="10" spans="1:52" ht="12.75" customHeight="1" x14ac:dyDescent="0.2">
      <c r="A10" s="16" t="str">
        <f>'t1'!A10</f>
        <v>POSIZIONE ECONOMICA D</v>
      </c>
      <c r="B10" s="128" t="str">
        <f>'t1'!B10</f>
        <v>047000</v>
      </c>
      <c r="C10" s="184">
        <v>1</v>
      </c>
      <c r="D10" s="217">
        <v>1</v>
      </c>
      <c r="E10" s="184"/>
      <c r="F10" s="217"/>
      <c r="G10" s="184"/>
      <c r="H10" s="217"/>
      <c r="I10" s="184"/>
      <c r="J10" s="217"/>
      <c r="K10" s="184"/>
      <c r="L10" s="217"/>
      <c r="M10" s="184"/>
      <c r="N10" s="217"/>
      <c r="O10" s="184"/>
      <c r="P10" s="217"/>
      <c r="Q10" s="184"/>
      <c r="R10" s="217"/>
      <c r="S10" s="184"/>
      <c r="T10" s="217"/>
      <c r="U10" s="184"/>
      <c r="V10" s="217"/>
      <c r="W10" s="184"/>
      <c r="X10" s="217"/>
      <c r="Y10" s="184"/>
      <c r="Z10" s="217"/>
      <c r="AA10" s="184"/>
      <c r="AB10" s="217"/>
      <c r="AC10" s="184"/>
      <c r="AD10" s="217"/>
      <c r="AE10" s="184"/>
      <c r="AF10" s="217"/>
      <c r="AG10" s="184"/>
      <c r="AH10" s="217"/>
      <c r="AI10" s="184"/>
      <c r="AJ10" s="217"/>
      <c r="AK10" s="184"/>
      <c r="AL10" s="217"/>
      <c r="AM10" s="184">
        <v>149</v>
      </c>
      <c r="AN10" s="217">
        <v>306</v>
      </c>
      <c r="AO10" s="184"/>
      <c r="AP10" s="217"/>
      <c r="AQ10" s="184"/>
      <c r="AR10" s="217"/>
      <c r="AS10" s="184"/>
      <c r="AT10" s="217"/>
      <c r="AU10" s="395">
        <f t="shared" ref="AU10:AU25" si="0">SUM(S10,U10,W10,Y10,C10,E10,G10,I10,K10,M10,O10,Q10,AA10,AC10,AE10,AG10,AI10,AK10,AM10,AO10,AQ10,AS10)</f>
        <v>150</v>
      </c>
      <c r="AV10" s="364">
        <f t="shared" ref="AV10:AV25" si="1">SUM(T10,V10,X10,Z10,D10,F10,H10,J10,L10,N10,P10,R10,AB10,AD10,AF10,AH10,AJ10,AL10,AN10,AP10,AR10,AT10)</f>
        <v>307</v>
      </c>
      <c r="AW10" s="613" t="str">
        <f t="shared" ref="AW10:AW25" si="2">IF((AU10+AV10)=(AX10+AY10),"OK","Controllare totale")</f>
        <v>OK</v>
      </c>
      <c r="AX10" s="614">
        <f>'t1'!K10-'t3'!C10-'t3'!E10-'t3'!G10-'t3'!I10+'t3'!K10+'t3'!M10+'t3'!O10</f>
        <v>150</v>
      </c>
      <c r="AY10" s="615">
        <f>'t1'!L10-'t3'!D10-'t3'!F10-'t3'!H10-'t3'!J10+'t3'!L10+'t3'!N10+'t3'!P10</f>
        <v>307</v>
      </c>
      <c r="AZ10" s="3">
        <f>'t1'!M10</f>
        <v>460</v>
      </c>
    </row>
    <row r="11" spans="1:52" ht="12.75" customHeight="1" x14ac:dyDescent="0.2">
      <c r="A11" s="16" t="str">
        <f>'t1'!A11</f>
        <v>POSIZIONE ECONOMICA D - FORESTALE</v>
      </c>
      <c r="B11" s="128" t="str">
        <f>'t1'!B11</f>
        <v>047FOR</v>
      </c>
      <c r="C11" s="184"/>
      <c r="D11" s="217"/>
      <c r="E11" s="184"/>
      <c r="F11" s="217"/>
      <c r="G11" s="184"/>
      <c r="H11" s="217"/>
      <c r="I11" s="184"/>
      <c r="J11" s="217"/>
      <c r="K11" s="184"/>
      <c r="L11" s="217"/>
      <c r="M11" s="184"/>
      <c r="N11" s="217"/>
      <c r="O11" s="184"/>
      <c r="P11" s="217"/>
      <c r="Q11" s="184"/>
      <c r="R11" s="217"/>
      <c r="S11" s="184"/>
      <c r="T11" s="217"/>
      <c r="U11" s="184"/>
      <c r="V11" s="217"/>
      <c r="W11" s="184"/>
      <c r="X11" s="217"/>
      <c r="Y11" s="184"/>
      <c r="Z11" s="217"/>
      <c r="AA11" s="184"/>
      <c r="AB11" s="217"/>
      <c r="AC11" s="184"/>
      <c r="AD11" s="217"/>
      <c r="AE11" s="184"/>
      <c r="AF11" s="217"/>
      <c r="AG11" s="184"/>
      <c r="AH11" s="217"/>
      <c r="AI11" s="184"/>
      <c r="AJ11" s="217"/>
      <c r="AK11" s="184"/>
      <c r="AL11" s="217"/>
      <c r="AM11" s="184"/>
      <c r="AN11" s="217"/>
      <c r="AO11" s="184"/>
      <c r="AP11" s="217"/>
      <c r="AQ11" s="184"/>
      <c r="AR11" s="217"/>
      <c r="AS11" s="184"/>
      <c r="AT11" s="217"/>
      <c r="AU11" s="395">
        <f t="shared" si="0"/>
        <v>0</v>
      </c>
      <c r="AV11" s="364">
        <f t="shared" si="1"/>
        <v>0</v>
      </c>
      <c r="AW11" s="613" t="str">
        <f t="shared" si="2"/>
        <v>OK</v>
      </c>
      <c r="AX11" s="614">
        <f>'t1'!K11-'t3'!C11-'t3'!E11-'t3'!G11-'t3'!I11+'t3'!K11+'t3'!M11+'t3'!O11</f>
        <v>0</v>
      </c>
      <c r="AY11" s="615">
        <f>'t1'!L11-'t3'!D11-'t3'!F11-'t3'!H11-'t3'!J11+'t3'!L11+'t3'!N11+'t3'!P11</f>
        <v>0</v>
      </c>
      <c r="AZ11" s="3">
        <f>'t1'!M11</f>
        <v>0</v>
      </c>
    </row>
    <row r="12" spans="1:52" ht="12.75" customHeight="1" x14ac:dyDescent="0.2">
      <c r="A12" s="16" t="str">
        <f>'t1'!A12</f>
        <v>POSIZIONE ECONOMICA D  ISPETTORE ANTINCENDI DIRETTORE-VVFF</v>
      </c>
      <c r="B12" s="128" t="str">
        <f>'t1'!B12</f>
        <v>047IS3</v>
      </c>
      <c r="C12" s="184"/>
      <c r="D12" s="217"/>
      <c r="E12" s="184"/>
      <c r="F12" s="217"/>
      <c r="G12" s="184"/>
      <c r="H12" s="217"/>
      <c r="I12" s="184"/>
      <c r="J12" s="217"/>
      <c r="K12" s="184"/>
      <c r="L12" s="217"/>
      <c r="M12" s="184"/>
      <c r="N12" s="217"/>
      <c r="O12" s="184"/>
      <c r="P12" s="217"/>
      <c r="Q12" s="184"/>
      <c r="R12" s="217"/>
      <c r="S12" s="184"/>
      <c r="T12" s="217"/>
      <c r="U12" s="184"/>
      <c r="V12" s="217"/>
      <c r="W12" s="184"/>
      <c r="X12" s="217"/>
      <c r="Y12" s="184"/>
      <c r="Z12" s="217"/>
      <c r="AA12" s="184"/>
      <c r="AB12" s="217"/>
      <c r="AC12" s="184"/>
      <c r="AD12" s="217"/>
      <c r="AE12" s="184"/>
      <c r="AF12" s="217"/>
      <c r="AG12" s="184"/>
      <c r="AH12" s="217"/>
      <c r="AI12" s="184"/>
      <c r="AJ12" s="217"/>
      <c r="AK12" s="184"/>
      <c r="AL12" s="217"/>
      <c r="AM12" s="184"/>
      <c r="AN12" s="217"/>
      <c r="AO12" s="184"/>
      <c r="AP12" s="217"/>
      <c r="AQ12" s="184"/>
      <c r="AR12" s="217"/>
      <c r="AS12" s="184"/>
      <c r="AT12" s="217"/>
      <c r="AU12" s="395">
        <f t="shared" si="0"/>
        <v>0</v>
      </c>
      <c r="AV12" s="364">
        <f t="shared" si="1"/>
        <v>0</v>
      </c>
      <c r="AW12" s="613" t="str">
        <f t="shared" si="2"/>
        <v>OK</v>
      </c>
      <c r="AX12" s="614">
        <f>'t1'!K12-'t3'!C12-'t3'!E12-'t3'!G12-'t3'!I12+'t3'!K12+'t3'!M12+'t3'!O12</f>
        <v>0</v>
      </c>
      <c r="AY12" s="615">
        <f>'t1'!L12-'t3'!D12-'t3'!F12-'t3'!H12-'t3'!J12+'t3'!L12+'t3'!N12+'t3'!P12</f>
        <v>0</v>
      </c>
      <c r="AZ12" s="3">
        <f>'t1'!M12</f>
        <v>0</v>
      </c>
    </row>
    <row r="13" spans="1:52" ht="12.75" customHeight="1" x14ac:dyDescent="0.2">
      <c r="A13" s="16" t="str">
        <f>'t1'!A13</f>
        <v>POSIZIONE ECONOMICA D  ISPETTORE ANTINCENDI  VVFF</v>
      </c>
      <c r="B13" s="128" t="str">
        <f>'t1'!B13</f>
        <v>047IS2</v>
      </c>
      <c r="C13" s="184"/>
      <c r="D13" s="217"/>
      <c r="E13" s="184"/>
      <c r="F13" s="217"/>
      <c r="G13" s="184"/>
      <c r="H13" s="217"/>
      <c r="I13" s="184"/>
      <c r="J13" s="217"/>
      <c r="K13" s="184"/>
      <c r="L13" s="217"/>
      <c r="M13" s="184"/>
      <c r="N13" s="217"/>
      <c r="O13" s="184"/>
      <c r="P13" s="217"/>
      <c r="Q13" s="184"/>
      <c r="R13" s="217"/>
      <c r="S13" s="184"/>
      <c r="T13" s="217"/>
      <c r="U13" s="184"/>
      <c r="V13" s="217"/>
      <c r="W13" s="184"/>
      <c r="X13" s="217"/>
      <c r="Y13" s="184"/>
      <c r="Z13" s="217"/>
      <c r="AA13" s="184"/>
      <c r="AB13" s="217"/>
      <c r="AC13" s="184"/>
      <c r="AD13" s="217"/>
      <c r="AE13" s="184"/>
      <c r="AF13" s="217"/>
      <c r="AG13" s="184"/>
      <c r="AH13" s="217"/>
      <c r="AI13" s="184"/>
      <c r="AJ13" s="217"/>
      <c r="AK13" s="184"/>
      <c r="AL13" s="217"/>
      <c r="AM13" s="184">
        <v>5</v>
      </c>
      <c r="AN13" s="217"/>
      <c r="AO13" s="184"/>
      <c r="AP13" s="217"/>
      <c r="AQ13" s="184"/>
      <c r="AR13" s="217"/>
      <c r="AS13" s="184"/>
      <c r="AT13" s="217"/>
      <c r="AU13" s="395">
        <f t="shared" si="0"/>
        <v>5</v>
      </c>
      <c r="AV13" s="364">
        <f t="shared" si="1"/>
        <v>0</v>
      </c>
      <c r="AW13" s="613" t="str">
        <f t="shared" si="2"/>
        <v>OK</v>
      </c>
      <c r="AX13" s="614">
        <f>'t1'!K13-'t3'!C13-'t3'!E13-'t3'!G13-'t3'!I13+'t3'!K13+'t3'!M13+'t3'!O13</f>
        <v>5</v>
      </c>
      <c r="AY13" s="615">
        <f>'t1'!L13-'t3'!D13-'t3'!F13-'t3'!H13-'t3'!J13+'t3'!L13+'t3'!N13+'t3'!P13</f>
        <v>0</v>
      </c>
      <c r="AZ13" s="3">
        <f>'t1'!M13</f>
        <v>5</v>
      </c>
    </row>
    <row r="14" spans="1:52" ht="12.75" customHeight="1" x14ac:dyDescent="0.2">
      <c r="A14" s="16" t="str">
        <f>'t1'!A14</f>
        <v>POSIZIONE ECONOMICA C2</v>
      </c>
      <c r="B14" s="128" t="str">
        <f>'t1'!B14</f>
        <v>042000</v>
      </c>
      <c r="C14" s="184"/>
      <c r="D14" s="217"/>
      <c r="E14" s="184"/>
      <c r="F14" s="217"/>
      <c r="G14" s="184"/>
      <c r="H14" s="217"/>
      <c r="I14" s="184"/>
      <c r="J14" s="217"/>
      <c r="K14" s="184"/>
      <c r="L14" s="217"/>
      <c r="M14" s="184"/>
      <c r="N14" s="217"/>
      <c r="O14" s="184"/>
      <c r="P14" s="217"/>
      <c r="Q14" s="184">
        <v>1</v>
      </c>
      <c r="R14" s="217">
        <v>2</v>
      </c>
      <c r="S14" s="184"/>
      <c r="T14" s="217"/>
      <c r="U14" s="184"/>
      <c r="V14" s="217"/>
      <c r="W14" s="184"/>
      <c r="X14" s="217"/>
      <c r="Y14" s="184"/>
      <c r="Z14" s="217"/>
      <c r="AA14" s="184"/>
      <c r="AB14" s="217"/>
      <c r="AC14" s="184"/>
      <c r="AD14" s="217"/>
      <c r="AE14" s="184"/>
      <c r="AF14" s="217"/>
      <c r="AG14" s="184"/>
      <c r="AH14" s="217"/>
      <c r="AI14" s="184"/>
      <c r="AJ14" s="217"/>
      <c r="AK14" s="184"/>
      <c r="AL14" s="217"/>
      <c r="AM14" s="184">
        <v>281</v>
      </c>
      <c r="AN14" s="217">
        <v>477</v>
      </c>
      <c r="AO14" s="184"/>
      <c r="AP14" s="217"/>
      <c r="AQ14" s="184"/>
      <c r="AR14" s="217"/>
      <c r="AS14" s="184"/>
      <c r="AT14" s="217"/>
      <c r="AU14" s="395">
        <f t="shared" si="0"/>
        <v>282</v>
      </c>
      <c r="AV14" s="364">
        <f t="shared" si="1"/>
        <v>479</v>
      </c>
      <c r="AW14" s="613" t="str">
        <f t="shared" si="2"/>
        <v>OK</v>
      </c>
      <c r="AX14" s="614">
        <f>'t1'!K14-'t3'!C14-'t3'!E14-'t3'!G14-'t3'!I14+'t3'!K14+'t3'!M14+'t3'!O14</f>
        <v>282</v>
      </c>
      <c r="AY14" s="615">
        <f>'t1'!L14-'t3'!D14-'t3'!F14-'t3'!H14-'t3'!J14+'t3'!L14+'t3'!N14+'t3'!P14</f>
        <v>479</v>
      </c>
      <c r="AZ14" s="3">
        <f>'t1'!M14</f>
        <v>766</v>
      </c>
    </row>
    <row r="15" spans="1:52" ht="12.75" customHeight="1" x14ac:dyDescent="0.2">
      <c r="A15" s="16" t="str">
        <f>'t1'!A15</f>
        <v>POSIZIONE ECONOMICA C1</v>
      </c>
      <c r="B15" s="128" t="str">
        <f>'t1'!B15</f>
        <v>040000</v>
      </c>
      <c r="C15" s="184"/>
      <c r="D15" s="217"/>
      <c r="E15" s="184"/>
      <c r="F15" s="217"/>
      <c r="G15" s="184"/>
      <c r="H15" s="217"/>
      <c r="I15" s="184"/>
      <c r="J15" s="217"/>
      <c r="K15" s="184"/>
      <c r="L15" s="217"/>
      <c r="M15" s="184"/>
      <c r="N15" s="217"/>
      <c r="O15" s="184"/>
      <c r="P15" s="217"/>
      <c r="Q15" s="184"/>
      <c r="R15" s="217"/>
      <c r="S15" s="184"/>
      <c r="T15" s="217"/>
      <c r="U15" s="184"/>
      <c r="V15" s="217"/>
      <c r="W15" s="184"/>
      <c r="X15" s="217"/>
      <c r="Y15" s="184"/>
      <c r="Z15" s="217"/>
      <c r="AA15" s="184"/>
      <c r="AB15" s="217"/>
      <c r="AC15" s="184"/>
      <c r="AD15" s="217"/>
      <c r="AE15" s="184"/>
      <c r="AF15" s="217"/>
      <c r="AG15" s="184"/>
      <c r="AH15" s="217"/>
      <c r="AI15" s="184"/>
      <c r="AJ15" s="217"/>
      <c r="AK15" s="184"/>
      <c r="AL15" s="217"/>
      <c r="AM15" s="184">
        <v>11</v>
      </c>
      <c r="AN15" s="217">
        <v>14</v>
      </c>
      <c r="AO15" s="184"/>
      <c r="AP15" s="217"/>
      <c r="AQ15" s="184"/>
      <c r="AR15" s="217"/>
      <c r="AS15" s="184"/>
      <c r="AT15" s="217"/>
      <c r="AU15" s="395">
        <f t="shared" si="0"/>
        <v>11</v>
      </c>
      <c r="AV15" s="364">
        <f t="shared" si="1"/>
        <v>14</v>
      </c>
      <c r="AW15" s="613" t="str">
        <f t="shared" si="2"/>
        <v>OK</v>
      </c>
      <c r="AX15" s="614">
        <f>'t1'!K15-'t3'!C15-'t3'!E15-'t3'!G15-'t3'!I15+'t3'!K15+'t3'!M15+'t3'!O15</f>
        <v>11</v>
      </c>
      <c r="AY15" s="615">
        <f>'t1'!L15-'t3'!D15-'t3'!F15-'t3'!H15-'t3'!J15+'t3'!L15+'t3'!N15+'t3'!P15</f>
        <v>14</v>
      </c>
      <c r="AZ15" s="3">
        <f>'t1'!M15</f>
        <v>25</v>
      </c>
    </row>
    <row r="16" spans="1:52" ht="12.75" customHeight="1" x14ac:dyDescent="0.2">
      <c r="A16" s="16" t="str">
        <f>'t1'!A16</f>
        <v>ISPETTORE FORESTALE C21F</v>
      </c>
      <c r="B16" s="128" t="str">
        <f>'t1'!B16</f>
        <v>042324</v>
      </c>
      <c r="C16" s="184"/>
      <c r="D16" s="217"/>
      <c r="E16" s="184"/>
      <c r="F16" s="217"/>
      <c r="G16" s="184"/>
      <c r="H16" s="217"/>
      <c r="I16" s="184"/>
      <c r="J16" s="217"/>
      <c r="K16" s="184"/>
      <c r="L16" s="217"/>
      <c r="M16" s="184"/>
      <c r="N16" s="217"/>
      <c r="O16" s="184"/>
      <c r="P16" s="217"/>
      <c r="Q16" s="184"/>
      <c r="R16" s="217"/>
      <c r="S16" s="184"/>
      <c r="T16" s="217"/>
      <c r="U16" s="184"/>
      <c r="V16" s="217"/>
      <c r="W16" s="184"/>
      <c r="X16" s="217"/>
      <c r="Y16" s="184"/>
      <c r="Z16" s="217"/>
      <c r="AA16" s="184"/>
      <c r="AB16" s="217"/>
      <c r="AC16" s="184"/>
      <c r="AD16" s="217"/>
      <c r="AE16" s="184"/>
      <c r="AF16" s="217"/>
      <c r="AG16" s="184"/>
      <c r="AH16" s="217"/>
      <c r="AI16" s="184"/>
      <c r="AJ16" s="217"/>
      <c r="AK16" s="184"/>
      <c r="AL16" s="217"/>
      <c r="AM16" s="184">
        <v>12</v>
      </c>
      <c r="AN16" s="217">
        <v>5</v>
      </c>
      <c r="AO16" s="184"/>
      <c r="AP16" s="217"/>
      <c r="AQ16" s="184"/>
      <c r="AR16" s="217"/>
      <c r="AS16" s="184"/>
      <c r="AT16" s="217"/>
      <c r="AU16" s="395">
        <f t="shared" si="0"/>
        <v>12</v>
      </c>
      <c r="AV16" s="364">
        <f t="shared" si="1"/>
        <v>5</v>
      </c>
      <c r="AW16" s="613" t="str">
        <f t="shared" si="2"/>
        <v>OK</v>
      </c>
      <c r="AX16" s="614">
        <f>'t1'!K16-'t3'!C16-'t3'!E16-'t3'!G16-'t3'!I16+'t3'!K16+'t3'!M16+'t3'!O16</f>
        <v>12</v>
      </c>
      <c r="AY16" s="615">
        <f>'t1'!L16-'t3'!D16-'t3'!F16-'t3'!H16-'t3'!J16+'t3'!L16+'t3'!N16+'t3'!P16</f>
        <v>5</v>
      </c>
      <c r="AZ16" s="3">
        <f>'t1'!M16</f>
        <v>19</v>
      </c>
    </row>
    <row r="17" spans="1:52" ht="12.75" customHeight="1" x14ac:dyDescent="0.2">
      <c r="A17" s="16" t="str">
        <f>'t1'!A17</f>
        <v>SOVRAINTENDENTE C1F</v>
      </c>
      <c r="B17" s="128" t="str">
        <f>'t1'!B17</f>
        <v>040211</v>
      </c>
      <c r="C17" s="184"/>
      <c r="D17" s="217"/>
      <c r="E17" s="184"/>
      <c r="F17" s="217"/>
      <c r="G17" s="184"/>
      <c r="H17" s="217"/>
      <c r="I17" s="184"/>
      <c r="J17" s="217"/>
      <c r="K17" s="184"/>
      <c r="L17" s="217"/>
      <c r="M17" s="184"/>
      <c r="N17" s="217"/>
      <c r="O17" s="184"/>
      <c r="P17" s="217"/>
      <c r="Q17" s="184"/>
      <c r="R17" s="217"/>
      <c r="S17" s="184"/>
      <c r="T17" s="217"/>
      <c r="U17" s="184"/>
      <c r="V17" s="217"/>
      <c r="W17" s="184"/>
      <c r="X17" s="217"/>
      <c r="Y17" s="184"/>
      <c r="Z17" s="217"/>
      <c r="AA17" s="184"/>
      <c r="AB17" s="217"/>
      <c r="AC17" s="184"/>
      <c r="AD17" s="217"/>
      <c r="AE17" s="184"/>
      <c r="AF17" s="217"/>
      <c r="AG17" s="184"/>
      <c r="AH17" s="217"/>
      <c r="AI17" s="184"/>
      <c r="AJ17" s="217"/>
      <c r="AK17" s="184"/>
      <c r="AL17" s="217"/>
      <c r="AM17" s="184">
        <v>19</v>
      </c>
      <c r="AN17" s="217">
        <v>8</v>
      </c>
      <c r="AO17" s="184"/>
      <c r="AP17" s="217"/>
      <c r="AQ17" s="184"/>
      <c r="AR17" s="217"/>
      <c r="AS17" s="184"/>
      <c r="AT17" s="217"/>
      <c r="AU17" s="395">
        <f t="shared" si="0"/>
        <v>19</v>
      </c>
      <c r="AV17" s="364">
        <f t="shared" si="1"/>
        <v>8</v>
      </c>
      <c r="AW17" s="613" t="str">
        <f t="shared" si="2"/>
        <v>OK</v>
      </c>
      <c r="AX17" s="614">
        <f>'t1'!K17-'t3'!C17-'t3'!E17-'t3'!G17-'t3'!I17+'t3'!K17+'t3'!M17+'t3'!O17</f>
        <v>19</v>
      </c>
      <c r="AY17" s="615">
        <f>'t1'!L17-'t3'!D17-'t3'!F17-'t3'!H17-'t3'!J17+'t3'!L17+'t3'!N17+'t3'!P17</f>
        <v>8</v>
      </c>
      <c r="AZ17" s="3">
        <f>'t1'!M17</f>
        <v>27</v>
      </c>
    </row>
    <row r="18" spans="1:52" ht="12.75" customHeight="1" x14ac:dyDescent="0.2">
      <c r="A18" s="16" t="str">
        <f>'t1'!A18</f>
        <v>POSIZIONE ECONOMICA C2  CAPO REPARTO  VVFF</v>
      </c>
      <c r="B18" s="128" t="str">
        <f>'t1'!B18</f>
        <v>042CR1</v>
      </c>
      <c r="C18" s="184"/>
      <c r="D18" s="217"/>
      <c r="E18" s="184"/>
      <c r="F18" s="217"/>
      <c r="G18" s="184"/>
      <c r="H18" s="217"/>
      <c r="I18" s="184"/>
      <c r="J18" s="217"/>
      <c r="K18" s="184"/>
      <c r="L18" s="217"/>
      <c r="M18" s="184"/>
      <c r="N18" s="217"/>
      <c r="O18" s="184"/>
      <c r="P18" s="217"/>
      <c r="Q18" s="184"/>
      <c r="R18" s="217"/>
      <c r="S18" s="184"/>
      <c r="T18" s="217"/>
      <c r="U18" s="184"/>
      <c r="V18" s="217"/>
      <c r="W18" s="184"/>
      <c r="X18" s="217"/>
      <c r="Y18" s="184"/>
      <c r="Z18" s="217"/>
      <c r="AA18" s="184"/>
      <c r="AB18" s="217"/>
      <c r="AC18" s="184"/>
      <c r="AD18" s="217"/>
      <c r="AE18" s="184"/>
      <c r="AF18" s="217"/>
      <c r="AG18" s="184"/>
      <c r="AH18" s="217"/>
      <c r="AI18" s="184"/>
      <c r="AJ18" s="217"/>
      <c r="AK18" s="184"/>
      <c r="AL18" s="217"/>
      <c r="AM18" s="184">
        <v>11</v>
      </c>
      <c r="AN18" s="217"/>
      <c r="AO18" s="184"/>
      <c r="AP18" s="217"/>
      <c r="AQ18" s="184"/>
      <c r="AR18" s="217"/>
      <c r="AS18" s="184"/>
      <c r="AT18" s="217"/>
      <c r="AU18" s="395">
        <f t="shared" si="0"/>
        <v>11</v>
      </c>
      <c r="AV18" s="364">
        <f t="shared" si="1"/>
        <v>0</v>
      </c>
      <c r="AW18" s="613" t="str">
        <f t="shared" si="2"/>
        <v>OK</v>
      </c>
      <c r="AX18" s="614">
        <f>'t1'!K18-'t3'!C18-'t3'!E18-'t3'!G18-'t3'!I18+'t3'!K18+'t3'!M18+'t3'!O18</f>
        <v>11</v>
      </c>
      <c r="AY18" s="615">
        <f>'t1'!L18-'t3'!D18-'t3'!F18-'t3'!H18-'t3'!J18+'t3'!L18+'t3'!N18+'t3'!P18</f>
        <v>0</v>
      </c>
      <c r="AZ18" s="3">
        <f>'t1'!M18</f>
        <v>11</v>
      </c>
    </row>
    <row r="19" spans="1:52" ht="12.75" customHeight="1" x14ac:dyDescent="0.2">
      <c r="A19" s="16" t="str">
        <f>'t1'!A19</f>
        <v>POSIZIONE ECONOMICA C2  COLLAB. TECNICO ANTINCENDI  VVFF</v>
      </c>
      <c r="B19" s="128" t="str">
        <f>'t1'!B19</f>
        <v>042CA0</v>
      </c>
      <c r="C19" s="184"/>
      <c r="D19" s="217"/>
      <c r="E19" s="184"/>
      <c r="F19" s="217"/>
      <c r="G19" s="184"/>
      <c r="H19" s="217"/>
      <c r="I19" s="184"/>
      <c r="J19" s="217"/>
      <c r="K19" s="184"/>
      <c r="L19" s="217"/>
      <c r="M19" s="184"/>
      <c r="N19" s="217"/>
      <c r="O19" s="184"/>
      <c r="P19" s="217"/>
      <c r="Q19" s="184"/>
      <c r="R19" s="217"/>
      <c r="S19" s="184"/>
      <c r="T19" s="217"/>
      <c r="U19" s="184"/>
      <c r="V19" s="217"/>
      <c r="W19" s="184"/>
      <c r="X19" s="217"/>
      <c r="Y19" s="184"/>
      <c r="Z19" s="217"/>
      <c r="AA19" s="184"/>
      <c r="AB19" s="217"/>
      <c r="AC19" s="184"/>
      <c r="AD19" s="217"/>
      <c r="AE19" s="184"/>
      <c r="AF19" s="217"/>
      <c r="AG19" s="184"/>
      <c r="AH19" s="217"/>
      <c r="AI19" s="184"/>
      <c r="AJ19" s="217"/>
      <c r="AK19" s="184"/>
      <c r="AL19" s="217"/>
      <c r="AM19" s="184">
        <v>8</v>
      </c>
      <c r="AN19" s="217"/>
      <c r="AO19" s="184"/>
      <c r="AP19" s="217"/>
      <c r="AQ19" s="184"/>
      <c r="AR19" s="217"/>
      <c r="AS19" s="184"/>
      <c r="AT19" s="217"/>
      <c r="AU19" s="395">
        <f t="shared" si="0"/>
        <v>8</v>
      </c>
      <c r="AV19" s="364">
        <f t="shared" si="1"/>
        <v>0</v>
      </c>
      <c r="AW19" s="613" t="str">
        <f t="shared" si="2"/>
        <v>OK</v>
      </c>
      <c r="AX19" s="614">
        <f>'t1'!K19-'t3'!C19-'t3'!E19-'t3'!G19-'t3'!I19+'t3'!K19+'t3'!M19+'t3'!O19</f>
        <v>8</v>
      </c>
      <c r="AY19" s="615">
        <f>'t1'!L19-'t3'!D19-'t3'!F19-'t3'!H19-'t3'!J19+'t3'!L19+'t3'!N19+'t3'!P19</f>
        <v>0</v>
      </c>
      <c r="AZ19" s="3">
        <f>'t1'!M19</f>
        <v>8</v>
      </c>
    </row>
    <row r="20" spans="1:52" ht="12.75" customHeight="1" x14ac:dyDescent="0.2">
      <c r="A20" s="16" t="str">
        <f>'t1'!A20</f>
        <v>POSIZIONE ECONOMICA C1  CAPO SQUADRA  VVFF</v>
      </c>
      <c r="B20" s="128" t="str">
        <f>'t1'!B20</f>
        <v>040CS1</v>
      </c>
      <c r="C20" s="184"/>
      <c r="D20" s="217"/>
      <c r="E20" s="184"/>
      <c r="F20" s="217"/>
      <c r="G20" s="184"/>
      <c r="H20" s="217"/>
      <c r="I20" s="184"/>
      <c r="J20" s="217"/>
      <c r="K20" s="184"/>
      <c r="L20" s="217"/>
      <c r="M20" s="184"/>
      <c r="N20" s="217"/>
      <c r="O20" s="184"/>
      <c r="P20" s="217"/>
      <c r="Q20" s="184"/>
      <c r="R20" s="217"/>
      <c r="S20" s="184"/>
      <c r="T20" s="217"/>
      <c r="U20" s="184"/>
      <c r="V20" s="217"/>
      <c r="W20" s="184"/>
      <c r="X20" s="217"/>
      <c r="Y20" s="184"/>
      <c r="Z20" s="217"/>
      <c r="AA20" s="184"/>
      <c r="AB20" s="217"/>
      <c r="AC20" s="184"/>
      <c r="AD20" s="217"/>
      <c r="AE20" s="184"/>
      <c r="AF20" s="217"/>
      <c r="AG20" s="184"/>
      <c r="AH20" s="217"/>
      <c r="AI20" s="184"/>
      <c r="AJ20" s="217"/>
      <c r="AK20" s="184"/>
      <c r="AL20" s="217"/>
      <c r="AM20" s="184">
        <v>31</v>
      </c>
      <c r="AN20" s="217"/>
      <c r="AO20" s="184"/>
      <c r="AP20" s="217"/>
      <c r="AQ20" s="184"/>
      <c r="AR20" s="217"/>
      <c r="AS20" s="184"/>
      <c r="AT20" s="217"/>
      <c r="AU20" s="395">
        <f t="shared" si="0"/>
        <v>31</v>
      </c>
      <c r="AV20" s="364">
        <f t="shared" si="1"/>
        <v>0</v>
      </c>
      <c r="AW20" s="613" t="str">
        <f t="shared" si="2"/>
        <v>OK</v>
      </c>
      <c r="AX20" s="614">
        <f>'t1'!K20-'t3'!C20-'t3'!E20-'t3'!G20-'t3'!I20+'t3'!K20+'t3'!M20+'t3'!O20</f>
        <v>31</v>
      </c>
      <c r="AY20" s="615">
        <f>'t1'!L20-'t3'!D20-'t3'!F20-'t3'!H20-'t3'!J20+'t3'!L20+'t3'!N20+'t3'!P20</f>
        <v>0</v>
      </c>
      <c r="AZ20" s="3">
        <f>'t1'!M20</f>
        <v>31</v>
      </c>
    </row>
    <row r="21" spans="1:52" ht="12.75" customHeight="1" x14ac:dyDescent="0.2">
      <c r="A21" s="16" t="str">
        <f>'t1'!A21</f>
        <v>POSIZIONE ECONOMICA B3</v>
      </c>
      <c r="B21" s="128" t="str">
        <f>'t1'!B21</f>
        <v>034000</v>
      </c>
      <c r="C21" s="595"/>
      <c r="D21" s="596"/>
      <c r="E21" s="595"/>
      <c r="F21" s="596"/>
      <c r="G21" s="595"/>
      <c r="H21" s="596"/>
      <c r="I21" s="595"/>
      <c r="J21" s="596"/>
      <c r="K21" s="595"/>
      <c r="L21" s="596"/>
      <c r="M21" s="595"/>
      <c r="N21" s="596"/>
      <c r="O21" s="595"/>
      <c r="P21" s="596"/>
      <c r="Q21" s="595"/>
      <c r="R21" s="596"/>
      <c r="S21" s="595"/>
      <c r="T21" s="596"/>
      <c r="U21" s="595"/>
      <c r="V21" s="217"/>
      <c r="W21" s="184"/>
      <c r="X21" s="217"/>
      <c r="Y21" s="184"/>
      <c r="Z21" s="217"/>
      <c r="AA21" s="184"/>
      <c r="AB21" s="217"/>
      <c r="AC21" s="184"/>
      <c r="AD21" s="217"/>
      <c r="AE21" s="184"/>
      <c r="AF21" s="217"/>
      <c r="AG21" s="184"/>
      <c r="AH21" s="217"/>
      <c r="AI21" s="184"/>
      <c r="AJ21" s="217"/>
      <c r="AK21" s="184"/>
      <c r="AL21" s="217"/>
      <c r="AM21" s="184">
        <v>10</v>
      </c>
      <c r="AN21" s="217">
        <v>3</v>
      </c>
      <c r="AO21" s="184"/>
      <c r="AP21" s="217"/>
      <c r="AQ21" s="184"/>
      <c r="AR21" s="217"/>
      <c r="AS21" s="184"/>
      <c r="AT21" s="217"/>
      <c r="AU21" s="395">
        <f t="shared" si="0"/>
        <v>10</v>
      </c>
      <c r="AV21" s="364">
        <f t="shared" si="1"/>
        <v>3</v>
      </c>
      <c r="AW21" s="613" t="str">
        <f t="shared" si="2"/>
        <v>OK</v>
      </c>
      <c r="AX21" s="614">
        <f>'t1'!K21-'t3'!C21-'t3'!E21-'t3'!G21-'t3'!I21+'t3'!K21+'t3'!M21+'t3'!O21</f>
        <v>10</v>
      </c>
      <c r="AY21" s="615">
        <f>'t1'!L21-'t3'!D21-'t3'!F21-'t3'!H21-'t3'!J21+'t3'!L21+'t3'!N21+'t3'!P21</f>
        <v>3</v>
      </c>
      <c r="AZ21" s="3">
        <f>'t1'!M21</f>
        <v>13</v>
      </c>
    </row>
    <row r="22" spans="1:52" ht="12.75" customHeight="1" x14ac:dyDescent="0.2">
      <c r="A22" s="16" t="str">
        <f>'t1'!A22</f>
        <v>POSIZIONE ECONOMICA B2S</v>
      </c>
      <c r="B22" s="128" t="str">
        <f>'t1'!B22</f>
        <v>033000</v>
      </c>
      <c r="C22" s="597"/>
      <c r="D22" s="220"/>
      <c r="E22" s="597"/>
      <c r="F22" s="220"/>
      <c r="G22" s="597"/>
      <c r="H22" s="220"/>
      <c r="I22" s="597"/>
      <c r="J22" s="220"/>
      <c r="K22" s="597"/>
      <c r="L22" s="220"/>
      <c r="M22" s="597"/>
      <c r="N22" s="220"/>
      <c r="O22" s="597"/>
      <c r="P22" s="220"/>
      <c r="Q22" s="597"/>
      <c r="R22" s="220"/>
      <c r="S22" s="597"/>
      <c r="T22" s="220"/>
      <c r="U22" s="597"/>
      <c r="V22" s="217"/>
      <c r="W22" s="184"/>
      <c r="X22" s="217"/>
      <c r="Y22" s="184"/>
      <c r="Z22" s="217"/>
      <c r="AA22" s="184"/>
      <c r="AB22" s="217"/>
      <c r="AC22" s="184"/>
      <c r="AD22" s="217"/>
      <c r="AE22" s="184"/>
      <c r="AF22" s="217"/>
      <c r="AG22" s="184"/>
      <c r="AH22" s="217"/>
      <c r="AI22" s="184"/>
      <c r="AJ22" s="217"/>
      <c r="AK22" s="184"/>
      <c r="AL22" s="217"/>
      <c r="AM22" s="184"/>
      <c r="AN22" s="217">
        <v>5</v>
      </c>
      <c r="AO22" s="184"/>
      <c r="AP22" s="217"/>
      <c r="AQ22" s="184"/>
      <c r="AR22" s="217"/>
      <c r="AS22" s="184"/>
      <c r="AT22" s="217"/>
      <c r="AU22" s="395">
        <f t="shared" si="0"/>
        <v>0</v>
      </c>
      <c r="AV22" s="364">
        <f t="shared" si="1"/>
        <v>5</v>
      </c>
      <c r="AW22" s="613" t="str">
        <f t="shared" si="2"/>
        <v>OK</v>
      </c>
      <c r="AX22" s="614">
        <f>'t1'!K22-'t3'!C22-'t3'!E22-'t3'!G22-'t3'!I22+'t3'!K22+'t3'!M22+'t3'!O22</f>
        <v>0</v>
      </c>
      <c r="AY22" s="615">
        <f>'t1'!L22-'t3'!D22-'t3'!F22-'t3'!H22-'t3'!J22+'t3'!L22+'t3'!N22+'t3'!P22</f>
        <v>5</v>
      </c>
      <c r="AZ22" s="3">
        <f>'t1'!M22</f>
        <v>5</v>
      </c>
    </row>
    <row r="23" spans="1:52" ht="12.75" customHeight="1" x14ac:dyDescent="0.2">
      <c r="A23" s="16" t="str">
        <f>'t1'!A23</f>
        <v>POSIZIONE ECONOMICA B2</v>
      </c>
      <c r="B23" s="128" t="str">
        <f>'t1'!B23</f>
        <v>032000</v>
      </c>
      <c r="C23" s="184"/>
      <c r="D23" s="217"/>
      <c r="E23" s="184"/>
      <c r="F23" s="217"/>
      <c r="G23" s="184"/>
      <c r="H23" s="217"/>
      <c r="I23" s="184"/>
      <c r="J23" s="217"/>
      <c r="K23" s="184"/>
      <c r="L23" s="217"/>
      <c r="M23" s="184"/>
      <c r="N23" s="217"/>
      <c r="O23" s="184"/>
      <c r="P23" s="217"/>
      <c r="Q23" s="184">
        <v>1</v>
      </c>
      <c r="R23" s="217">
        <v>1</v>
      </c>
      <c r="S23" s="184"/>
      <c r="T23" s="217"/>
      <c r="U23" s="184"/>
      <c r="V23" s="217"/>
      <c r="W23" s="184"/>
      <c r="X23" s="217"/>
      <c r="Y23" s="184"/>
      <c r="Z23" s="217"/>
      <c r="AA23" s="184"/>
      <c r="AB23" s="217"/>
      <c r="AC23" s="184"/>
      <c r="AD23" s="217"/>
      <c r="AE23" s="184"/>
      <c r="AF23" s="217"/>
      <c r="AG23" s="184"/>
      <c r="AH23" s="217"/>
      <c r="AI23" s="184"/>
      <c r="AJ23" s="217"/>
      <c r="AK23" s="184"/>
      <c r="AL23" s="217"/>
      <c r="AM23" s="184">
        <v>173</v>
      </c>
      <c r="AN23" s="217">
        <v>337</v>
      </c>
      <c r="AO23" s="184"/>
      <c r="AP23" s="217"/>
      <c r="AQ23" s="184"/>
      <c r="AR23" s="217"/>
      <c r="AS23" s="184"/>
      <c r="AT23" s="217"/>
      <c r="AU23" s="395">
        <f t="shared" si="0"/>
        <v>174</v>
      </c>
      <c r="AV23" s="364">
        <f t="shared" si="1"/>
        <v>338</v>
      </c>
      <c r="AW23" s="613" t="str">
        <f t="shared" si="2"/>
        <v>OK</v>
      </c>
      <c r="AX23" s="614">
        <f>'t1'!K23-'t3'!C23-'t3'!E23-'t3'!G23-'t3'!I23+'t3'!K23+'t3'!M23+'t3'!O23</f>
        <v>174</v>
      </c>
      <c r="AY23" s="615">
        <f>'t1'!L23-'t3'!D23-'t3'!F23-'t3'!H23-'t3'!J23+'t3'!L23+'t3'!N23+'t3'!P23</f>
        <v>338</v>
      </c>
      <c r="AZ23" s="3">
        <f>'t1'!M23</f>
        <v>516</v>
      </c>
    </row>
    <row r="24" spans="1:52" ht="12.75" customHeight="1" x14ac:dyDescent="0.2">
      <c r="A24" s="16" t="str">
        <f>'t1'!A24</f>
        <v>POSIZIONE ECONOMICA B1</v>
      </c>
      <c r="B24" s="128" t="str">
        <f>'t1'!B24</f>
        <v>030000</v>
      </c>
      <c r="C24" s="184"/>
      <c r="D24" s="217"/>
      <c r="E24" s="184"/>
      <c r="F24" s="217"/>
      <c r="G24" s="184"/>
      <c r="H24" s="217"/>
      <c r="I24" s="184"/>
      <c r="J24" s="217"/>
      <c r="K24" s="184"/>
      <c r="L24" s="217"/>
      <c r="M24" s="184"/>
      <c r="N24" s="217"/>
      <c r="O24" s="184"/>
      <c r="P24" s="217"/>
      <c r="Q24" s="184"/>
      <c r="R24" s="217"/>
      <c r="S24" s="184"/>
      <c r="T24" s="217"/>
      <c r="U24" s="184"/>
      <c r="V24" s="217"/>
      <c r="W24" s="184"/>
      <c r="X24" s="217"/>
      <c r="Y24" s="184"/>
      <c r="Z24" s="217"/>
      <c r="AA24" s="184"/>
      <c r="AB24" s="217"/>
      <c r="AC24" s="184"/>
      <c r="AD24" s="217"/>
      <c r="AE24" s="184"/>
      <c r="AF24" s="217"/>
      <c r="AG24" s="184"/>
      <c r="AH24" s="217"/>
      <c r="AI24" s="184"/>
      <c r="AJ24" s="217"/>
      <c r="AK24" s="184"/>
      <c r="AL24" s="217"/>
      <c r="AM24" s="184">
        <v>21</v>
      </c>
      <c r="AN24" s="217">
        <v>2</v>
      </c>
      <c r="AO24" s="184"/>
      <c r="AP24" s="217"/>
      <c r="AQ24" s="184"/>
      <c r="AR24" s="217"/>
      <c r="AS24" s="184"/>
      <c r="AT24" s="217"/>
      <c r="AU24" s="395">
        <f t="shared" si="0"/>
        <v>21</v>
      </c>
      <c r="AV24" s="364">
        <f t="shared" si="1"/>
        <v>2</v>
      </c>
      <c r="AW24" s="613" t="str">
        <f t="shared" si="2"/>
        <v>OK</v>
      </c>
      <c r="AX24" s="614">
        <f>'t1'!K24-'t3'!C24-'t3'!E24-'t3'!G24-'t3'!I24+'t3'!K24+'t3'!M24+'t3'!O24</f>
        <v>21</v>
      </c>
      <c r="AY24" s="615">
        <f>'t1'!L24-'t3'!D24-'t3'!F24-'t3'!H24-'t3'!J24+'t3'!L24+'t3'!N24+'t3'!P24</f>
        <v>2</v>
      </c>
      <c r="AZ24" s="3">
        <f>'t1'!M24</f>
        <v>23</v>
      </c>
    </row>
    <row r="25" spans="1:52" ht="12.75" customHeight="1" x14ac:dyDescent="0.2">
      <c r="A25" s="16" t="str">
        <f>'t1'!A25</f>
        <v>POS. EC. B3-GUARDIA  FORESTALE 5 A.</v>
      </c>
      <c r="B25" s="128" t="str">
        <f>'t1'!B25</f>
        <v>034561</v>
      </c>
      <c r="C25" s="184"/>
      <c r="D25" s="217"/>
      <c r="E25" s="184"/>
      <c r="F25" s="217"/>
      <c r="G25" s="184"/>
      <c r="H25" s="217"/>
      <c r="I25" s="184"/>
      <c r="J25" s="217"/>
      <c r="K25" s="184"/>
      <c r="L25" s="217"/>
      <c r="M25" s="184"/>
      <c r="N25" s="217"/>
      <c r="O25" s="184"/>
      <c r="P25" s="217"/>
      <c r="Q25" s="184"/>
      <c r="R25" s="217"/>
      <c r="S25" s="184"/>
      <c r="T25" s="217"/>
      <c r="U25" s="184"/>
      <c r="V25" s="217"/>
      <c r="W25" s="184"/>
      <c r="X25" s="217"/>
      <c r="Y25" s="184"/>
      <c r="Z25" s="217"/>
      <c r="AA25" s="184"/>
      <c r="AB25" s="217"/>
      <c r="AC25" s="184"/>
      <c r="AD25" s="217"/>
      <c r="AE25" s="184"/>
      <c r="AF25" s="217"/>
      <c r="AG25" s="184"/>
      <c r="AH25" s="217"/>
      <c r="AI25" s="184"/>
      <c r="AJ25" s="217"/>
      <c r="AK25" s="184"/>
      <c r="AL25" s="217"/>
      <c r="AM25" s="184">
        <v>29</v>
      </c>
      <c r="AN25" s="217">
        <v>12</v>
      </c>
      <c r="AO25" s="184"/>
      <c r="AP25" s="217"/>
      <c r="AQ25" s="184"/>
      <c r="AR25" s="217"/>
      <c r="AS25" s="184"/>
      <c r="AT25" s="217"/>
      <c r="AU25" s="395">
        <f t="shared" si="0"/>
        <v>29</v>
      </c>
      <c r="AV25" s="364">
        <f t="shared" si="1"/>
        <v>12</v>
      </c>
      <c r="AW25" s="613" t="str">
        <f t="shared" si="2"/>
        <v>OK</v>
      </c>
      <c r="AX25" s="614">
        <f>'t1'!K25-'t3'!C25-'t3'!E25-'t3'!G25-'t3'!I25+'t3'!K25+'t3'!M25+'t3'!O25</f>
        <v>29</v>
      </c>
      <c r="AY25" s="615">
        <f>'t1'!L25-'t3'!D25-'t3'!F25-'t3'!H25-'t3'!J25+'t3'!L25+'t3'!N25+'t3'!P25</f>
        <v>12</v>
      </c>
      <c r="AZ25" s="3">
        <f>'t1'!M25</f>
        <v>41</v>
      </c>
    </row>
    <row r="26" spans="1:52" ht="12.75" customHeight="1" x14ac:dyDescent="0.2">
      <c r="A26" s="16" t="str">
        <f>'t1'!A26</f>
        <v>POS. EC. B2-GUARDIA  FORESTALE</v>
      </c>
      <c r="B26" s="128" t="str">
        <f>'t1'!B26</f>
        <v>032561</v>
      </c>
      <c r="C26" s="184"/>
      <c r="D26" s="217"/>
      <c r="E26" s="184"/>
      <c r="F26" s="217"/>
      <c r="G26" s="184"/>
      <c r="H26" s="217"/>
      <c r="I26" s="184"/>
      <c r="J26" s="217"/>
      <c r="K26" s="184"/>
      <c r="L26" s="217"/>
      <c r="M26" s="184"/>
      <c r="N26" s="217"/>
      <c r="O26" s="184"/>
      <c r="P26" s="217"/>
      <c r="Q26" s="184"/>
      <c r="R26" s="217"/>
      <c r="S26" s="184"/>
      <c r="T26" s="217"/>
      <c r="U26" s="184"/>
      <c r="V26" s="217"/>
      <c r="W26" s="184"/>
      <c r="X26" s="217"/>
      <c r="Y26" s="184"/>
      <c r="Z26" s="217"/>
      <c r="AA26" s="184"/>
      <c r="AB26" s="217"/>
      <c r="AC26" s="184"/>
      <c r="AD26" s="217"/>
      <c r="AE26" s="184"/>
      <c r="AF26" s="217"/>
      <c r="AG26" s="184"/>
      <c r="AH26" s="217"/>
      <c r="AI26" s="184"/>
      <c r="AJ26" s="217"/>
      <c r="AK26" s="184"/>
      <c r="AL26" s="217"/>
      <c r="AM26" s="184">
        <v>14</v>
      </c>
      <c r="AN26" s="217">
        <v>10</v>
      </c>
      <c r="AO26" s="184"/>
      <c r="AP26" s="217"/>
      <c r="AQ26" s="184"/>
      <c r="AR26" s="217"/>
      <c r="AS26" s="184"/>
      <c r="AT26" s="217"/>
      <c r="AU26" s="395">
        <f t="shared" ref="AU26:AU33" si="3">SUM(S26,U26,W26,Y26,C26,E26,G26,I26,K26,M26,O26,Q26,AA26,AC26,AE26,AG26,AI26,AK26,AM26,AO26,AQ26,AS26)</f>
        <v>14</v>
      </c>
      <c r="AV26" s="364">
        <f t="shared" ref="AV26:AV33" si="4">SUM(T26,V26,X26,Z26,D26,F26,H26,J26,L26,N26,P26,R26,AB26,AD26,AF26,AH26,AJ26,AL26,AN26,AP26,AR26,AT26)</f>
        <v>10</v>
      </c>
      <c r="AW26" s="613" t="str">
        <f t="shared" ref="AW26:AW33" si="5">IF((AU26+AV26)=(AX26+AY26),"OK","Controllare totale")</f>
        <v>OK</v>
      </c>
      <c r="AX26" s="614">
        <f>'t1'!K26-'t3'!C26-'t3'!E26-'t3'!G26-'t3'!I26+'t3'!K26+'t3'!M26+'t3'!O26</f>
        <v>14</v>
      </c>
      <c r="AY26" s="615">
        <f>'t1'!L26-'t3'!D26-'t3'!F26-'t3'!H26-'t3'!J26+'t3'!L26+'t3'!N26+'t3'!P26</f>
        <v>10</v>
      </c>
      <c r="AZ26" s="3">
        <f>'t1'!M26</f>
        <v>24</v>
      </c>
    </row>
    <row r="27" spans="1:52" ht="12.75" customHeight="1" x14ac:dyDescent="0.2">
      <c r="A27" s="16" t="str">
        <f>'t1'!A27</f>
        <v>POSIZIONE ECONOMICA B1 - FORESTALE</v>
      </c>
      <c r="B27" s="128" t="str">
        <f>'t1'!B27</f>
        <v>030FOR</v>
      </c>
      <c r="C27" s="184"/>
      <c r="D27" s="217"/>
      <c r="E27" s="184"/>
      <c r="F27" s="217"/>
      <c r="G27" s="184"/>
      <c r="H27" s="217"/>
      <c r="I27" s="184"/>
      <c r="J27" s="217"/>
      <c r="K27" s="184"/>
      <c r="L27" s="217"/>
      <c r="M27" s="184"/>
      <c r="N27" s="217"/>
      <c r="O27" s="184"/>
      <c r="P27" s="217"/>
      <c r="Q27" s="184"/>
      <c r="R27" s="217"/>
      <c r="S27" s="184"/>
      <c r="T27" s="217"/>
      <c r="U27" s="184"/>
      <c r="V27" s="217"/>
      <c r="W27" s="184"/>
      <c r="X27" s="217"/>
      <c r="Y27" s="184"/>
      <c r="Z27" s="217"/>
      <c r="AA27" s="184"/>
      <c r="AB27" s="217"/>
      <c r="AC27" s="184"/>
      <c r="AD27" s="217"/>
      <c r="AE27" s="184"/>
      <c r="AF27" s="217"/>
      <c r="AG27" s="184"/>
      <c r="AH27" s="217"/>
      <c r="AI27" s="184"/>
      <c r="AJ27" s="217"/>
      <c r="AK27" s="184"/>
      <c r="AL27" s="217"/>
      <c r="AM27" s="184"/>
      <c r="AN27" s="217"/>
      <c r="AO27" s="184"/>
      <c r="AP27" s="217"/>
      <c r="AQ27" s="184"/>
      <c r="AR27" s="217"/>
      <c r="AS27" s="184"/>
      <c r="AT27" s="217"/>
      <c r="AU27" s="395">
        <f t="shared" si="3"/>
        <v>0</v>
      </c>
      <c r="AV27" s="364">
        <f t="shared" si="4"/>
        <v>0</v>
      </c>
      <c r="AW27" s="613" t="str">
        <f t="shared" si="5"/>
        <v>OK</v>
      </c>
      <c r="AX27" s="614">
        <f>'t1'!K27-'t3'!C27-'t3'!E27-'t3'!G27-'t3'!I27+'t3'!K27+'t3'!M27+'t3'!O27</f>
        <v>0</v>
      </c>
      <c r="AY27" s="615">
        <f>'t1'!L27-'t3'!D27-'t3'!F27-'t3'!H27-'t3'!J27+'t3'!L27+'t3'!N27+'t3'!P27</f>
        <v>0</v>
      </c>
      <c r="AZ27" s="3">
        <f>'t1'!M27</f>
        <v>0</v>
      </c>
    </row>
    <row r="28" spans="1:52" ht="12.75" customHeight="1" x14ac:dyDescent="0.2">
      <c r="A28" s="16" t="str">
        <f>'t1'!A28</f>
        <v>POSIZIONE ECONOMICA B3  VIGILE DEL FUOCO &gt; 5 ANNI</v>
      </c>
      <c r="B28" s="128" t="str">
        <f>'t1'!B28</f>
        <v>034VF5</v>
      </c>
      <c r="C28" s="184"/>
      <c r="D28" s="217"/>
      <c r="E28" s="184"/>
      <c r="F28" s="217"/>
      <c r="G28" s="184"/>
      <c r="H28" s="217"/>
      <c r="I28" s="184"/>
      <c r="J28" s="217"/>
      <c r="K28" s="184"/>
      <c r="L28" s="217"/>
      <c r="M28" s="184"/>
      <c r="N28" s="217"/>
      <c r="O28" s="184"/>
      <c r="P28" s="217"/>
      <c r="Q28" s="184"/>
      <c r="R28" s="217"/>
      <c r="S28" s="184"/>
      <c r="T28" s="217"/>
      <c r="U28" s="184"/>
      <c r="V28" s="217"/>
      <c r="W28" s="184"/>
      <c r="X28" s="217"/>
      <c r="Y28" s="184"/>
      <c r="Z28" s="217"/>
      <c r="AA28" s="184"/>
      <c r="AB28" s="217"/>
      <c r="AC28" s="184"/>
      <c r="AD28" s="217"/>
      <c r="AE28" s="184"/>
      <c r="AF28" s="217"/>
      <c r="AG28" s="184"/>
      <c r="AH28" s="217"/>
      <c r="AI28" s="184"/>
      <c r="AJ28" s="217"/>
      <c r="AK28" s="184"/>
      <c r="AL28" s="217"/>
      <c r="AM28" s="184">
        <v>99</v>
      </c>
      <c r="AN28" s="217"/>
      <c r="AO28" s="184"/>
      <c r="AP28" s="217"/>
      <c r="AQ28" s="184"/>
      <c r="AR28" s="217"/>
      <c r="AS28" s="184"/>
      <c r="AT28" s="217"/>
      <c r="AU28" s="395">
        <f t="shared" si="3"/>
        <v>99</v>
      </c>
      <c r="AV28" s="364">
        <f t="shared" si="4"/>
        <v>0</v>
      </c>
      <c r="AW28" s="613" t="str">
        <f t="shared" si="5"/>
        <v>OK</v>
      </c>
      <c r="AX28" s="614">
        <f>'t1'!K28-'t3'!C28-'t3'!E28-'t3'!G28-'t3'!I28+'t3'!K28+'t3'!M28+'t3'!O28</f>
        <v>99</v>
      </c>
      <c r="AY28" s="615">
        <f>'t1'!L28-'t3'!D28-'t3'!F28-'t3'!H28-'t3'!J28+'t3'!L28+'t3'!N28+'t3'!P28</f>
        <v>0</v>
      </c>
      <c r="AZ28" s="3">
        <f>'t1'!M28</f>
        <v>99</v>
      </c>
    </row>
    <row r="29" spans="1:52" ht="12.75" customHeight="1" x14ac:dyDescent="0.2">
      <c r="A29" s="16" t="str">
        <f>'t1'!A29</f>
        <v>POSIZIONE ECONOMICA B2  VIGILE DEL FUOCO</v>
      </c>
      <c r="B29" s="128" t="str">
        <f>'t1'!B29</f>
        <v>032VF1</v>
      </c>
      <c r="C29" s="184"/>
      <c r="D29" s="217"/>
      <c r="E29" s="184"/>
      <c r="F29" s="217"/>
      <c r="G29" s="184"/>
      <c r="H29" s="217"/>
      <c r="I29" s="184"/>
      <c r="J29" s="217"/>
      <c r="K29" s="184"/>
      <c r="L29" s="217"/>
      <c r="M29" s="184"/>
      <c r="N29" s="217"/>
      <c r="O29" s="184"/>
      <c r="P29" s="217"/>
      <c r="Q29" s="184"/>
      <c r="R29" s="217"/>
      <c r="S29" s="184"/>
      <c r="T29" s="217"/>
      <c r="U29" s="184"/>
      <c r="V29" s="217"/>
      <c r="W29" s="184"/>
      <c r="X29" s="217"/>
      <c r="Y29" s="184"/>
      <c r="Z29" s="217"/>
      <c r="AA29" s="184"/>
      <c r="AB29" s="217"/>
      <c r="AC29" s="184"/>
      <c r="AD29" s="217"/>
      <c r="AE29" s="184"/>
      <c r="AF29" s="217"/>
      <c r="AG29" s="184"/>
      <c r="AH29" s="217"/>
      <c r="AI29" s="184"/>
      <c r="AJ29" s="217"/>
      <c r="AK29" s="184"/>
      <c r="AL29" s="217"/>
      <c r="AM29" s="184">
        <v>19</v>
      </c>
      <c r="AN29" s="217"/>
      <c r="AO29" s="184"/>
      <c r="AP29" s="217"/>
      <c r="AQ29" s="184"/>
      <c r="AR29" s="217"/>
      <c r="AS29" s="184"/>
      <c r="AT29" s="217"/>
      <c r="AU29" s="395">
        <f t="shared" si="3"/>
        <v>19</v>
      </c>
      <c r="AV29" s="364">
        <f t="shared" si="4"/>
        <v>0</v>
      </c>
      <c r="AW29" s="613" t="str">
        <f t="shared" si="5"/>
        <v>OK</v>
      </c>
      <c r="AX29" s="614">
        <f>'t1'!K29-'t3'!C29-'t3'!E29-'t3'!G29-'t3'!I29+'t3'!K29+'t3'!M29+'t3'!O29</f>
        <v>19</v>
      </c>
      <c r="AY29" s="615">
        <f>'t1'!L29-'t3'!D29-'t3'!F29-'t3'!H29-'t3'!J29+'t3'!L29+'t3'!N29+'t3'!P29</f>
        <v>0</v>
      </c>
      <c r="AZ29" s="3">
        <f>'t1'!M29</f>
        <v>19</v>
      </c>
    </row>
    <row r="30" spans="1:52" ht="12.75" customHeight="1" x14ac:dyDescent="0.2">
      <c r="A30" s="16" t="str">
        <f>'t1'!A30</f>
        <v>POSIZIONE ECONOMICA A</v>
      </c>
      <c r="B30" s="128" t="str">
        <f>'t1'!B30</f>
        <v>022000</v>
      </c>
      <c r="C30" s="184"/>
      <c r="D30" s="217"/>
      <c r="E30" s="184"/>
      <c r="F30" s="217"/>
      <c r="G30" s="184"/>
      <c r="H30" s="217"/>
      <c r="I30" s="184"/>
      <c r="J30" s="217"/>
      <c r="K30" s="184"/>
      <c r="L30" s="217"/>
      <c r="M30" s="184"/>
      <c r="N30" s="217"/>
      <c r="O30" s="184"/>
      <c r="P30" s="217"/>
      <c r="Q30" s="184"/>
      <c r="R30" s="217"/>
      <c r="S30" s="184"/>
      <c r="T30" s="217"/>
      <c r="U30" s="184"/>
      <c r="V30" s="217"/>
      <c r="W30" s="184"/>
      <c r="X30" s="217"/>
      <c r="Y30" s="184"/>
      <c r="Z30" s="217"/>
      <c r="AA30" s="184"/>
      <c r="AB30" s="217"/>
      <c r="AC30" s="184"/>
      <c r="AD30" s="217"/>
      <c r="AE30" s="184"/>
      <c r="AF30" s="217"/>
      <c r="AG30" s="184"/>
      <c r="AH30" s="217"/>
      <c r="AI30" s="184"/>
      <c r="AJ30" s="217"/>
      <c r="AK30" s="184"/>
      <c r="AL30" s="217"/>
      <c r="AM30" s="184">
        <v>40</v>
      </c>
      <c r="AN30" s="217">
        <v>180</v>
      </c>
      <c r="AO30" s="184"/>
      <c r="AP30" s="217"/>
      <c r="AQ30" s="184"/>
      <c r="AR30" s="217"/>
      <c r="AS30" s="184"/>
      <c r="AT30" s="217"/>
      <c r="AU30" s="395">
        <f t="shared" si="3"/>
        <v>40</v>
      </c>
      <c r="AV30" s="364">
        <f t="shared" si="4"/>
        <v>180</v>
      </c>
      <c r="AW30" s="613" t="str">
        <f t="shared" si="5"/>
        <v>OK</v>
      </c>
      <c r="AX30" s="614">
        <f>'t1'!K30-'t3'!C30-'t3'!E30-'t3'!G30-'t3'!I30+'t3'!K30+'t3'!M30+'t3'!O30</f>
        <v>40</v>
      </c>
      <c r="AY30" s="615">
        <f>'t1'!L30-'t3'!D30-'t3'!F30-'t3'!H30-'t3'!J30+'t3'!L30+'t3'!N30+'t3'!P30</f>
        <v>180</v>
      </c>
      <c r="AZ30" s="3">
        <f>'t1'!M30</f>
        <v>220</v>
      </c>
    </row>
    <row r="31" spans="1:52" ht="12.75" customHeight="1" x14ac:dyDescent="0.2">
      <c r="A31" s="16" t="str">
        <f>'t1'!A31</f>
        <v>CONTRATTISTI</v>
      </c>
      <c r="B31" s="128" t="str">
        <f>'t1'!B31</f>
        <v>000061</v>
      </c>
      <c r="C31" s="184"/>
      <c r="D31" s="217"/>
      <c r="E31" s="184"/>
      <c r="F31" s="217"/>
      <c r="G31" s="184"/>
      <c r="H31" s="217"/>
      <c r="I31" s="184"/>
      <c r="J31" s="217"/>
      <c r="K31" s="184"/>
      <c r="L31" s="217"/>
      <c r="M31" s="184"/>
      <c r="N31" s="217"/>
      <c r="O31" s="184"/>
      <c r="P31" s="217"/>
      <c r="Q31" s="184"/>
      <c r="R31" s="217"/>
      <c r="S31" s="184"/>
      <c r="T31" s="217"/>
      <c r="U31" s="184"/>
      <c r="V31" s="217"/>
      <c r="W31" s="184"/>
      <c r="X31" s="217"/>
      <c r="Y31" s="184"/>
      <c r="Z31" s="217"/>
      <c r="AA31" s="184"/>
      <c r="AB31" s="217"/>
      <c r="AC31" s="184"/>
      <c r="AD31" s="217"/>
      <c r="AE31" s="184"/>
      <c r="AF31" s="217"/>
      <c r="AG31" s="184"/>
      <c r="AH31" s="217"/>
      <c r="AI31" s="184"/>
      <c r="AJ31" s="217"/>
      <c r="AK31" s="184"/>
      <c r="AL31" s="217"/>
      <c r="AM31" s="184">
        <f>3+94</f>
        <v>97</v>
      </c>
      <c r="AN31" s="217">
        <v>31</v>
      </c>
      <c r="AO31" s="184"/>
      <c r="AP31" s="217"/>
      <c r="AQ31" s="184"/>
      <c r="AR31" s="217"/>
      <c r="AS31" s="184"/>
      <c r="AT31" s="217"/>
      <c r="AU31" s="395">
        <f t="shared" si="3"/>
        <v>97</v>
      </c>
      <c r="AV31" s="364">
        <f t="shared" si="4"/>
        <v>31</v>
      </c>
      <c r="AW31" s="613" t="str">
        <f t="shared" si="5"/>
        <v>OK</v>
      </c>
      <c r="AX31" s="614">
        <f>'t1'!K31-'t3'!C31-'t3'!E31-'t3'!G31-'t3'!I31+'t3'!K31+'t3'!M31+'t3'!O31</f>
        <v>97</v>
      </c>
      <c r="AY31" s="615">
        <f>'t1'!L31-'t3'!D31-'t3'!F31-'t3'!H31-'t3'!J31+'t3'!L31+'t3'!N31+'t3'!P31</f>
        <v>31</v>
      </c>
      <c r="AZ31" s="3">
        <f>'t1'!M31</f>
        <v>128</v>
      </c>
    </row>
    <row r="32" spans="1:52" ht="12.75" customHeight="1" x14ac:dyDescent="0.2">
      <c r="A32" s="16" t="str">
        <f>'t1'!A32</f>
        <v>SEGRETARIO GENERALE CCIAA</v>
      </c>
      <c r="B32" s="128" t="str">
        <f>'t1'!B32</f>
        <v>0D0104</v>
      </c>
      <c r="C32" s="184"/>
      <c r="D32" s="217"/>
      <c r="E32" s="184"/>
      <c r="F32" s="217"/>
      <c r="G32" s="184"/>
      <c r="H32" s="217"/>
      <c r="I32" s="184"/>
      <c r="J32" s="217"/>
      <c r="K32" s="184"/>
      <c r="L32" s="217"/>
      <c r="M32" s="184"/>
      <c r="N32" s="217"/>
      <c r="O32" s="184"/>
      <c r="P32" s="217"/>
      <c r="Q32" s="184"/>
      <c r="R32" s="217"/>
      <c r="S32" s="184"/>
      <c r="T32" s="217"/>
      <c r="U32" s="184"/>
      <c r="V32" s="217"/>
      <c r="W32" s="184"/>
      <c r="X32" s="217"/>
      <c r="Y32" s="184"/>
      <c r="Z32" s="217"/>
      <c r="AA32" s="184"/>
      <c r="AB32" s="217"/>
      <c r="AC32" s="184"/>
      <c r="AD32" s="217"/>
      <c r="AE32" s="184"/>
      <c r="AF32" s="217"/>
      <c r="AG32" s="184"/>
      <c r="AH32" s="217"/>
      <c r="AI32" s="184"/>
      <c r="AJ32" s="217"/>
      <c r="AK32" s="184"/>
      <c r="AL32" s="217"/>
      <c r="AM32" s="184"/>
      <c r="AN32" s="217"/>
      <c r="AO32" s="184"/>
      <c r="AP32" s="217"/>
      <c r="AQ32" s="184"/>
      <c r="AR32" s="217"/>
      <c r="AS32" s="184"/>
      <c r="AT32" s="217"/>
      <c r="AU32" s="395">
        <f t="shared" si="3"/>
        <v>0</v>
      </c>
      <c r="AV32" s="364">
        <f t="shared" si="4"/>
        <v>0</v>
      </c>
      <c r="AW32" s="613" t="str">
        <f t="shared" si="5"/>
        <v>OK</v>
      </c>
      <c r="AX32" s="614">
        <f>'t1'!K32-'t3'!C32-'t3'!E32-'t3'!G32-'t3'!I32+'t3'!K32+'t3'!M32+'t3'!O32</f>
        <v>0</v>
      </c>
      <c r="AY32" s="615">
        <f>'t1'!L32-'t3'!D32-'t3'!F32-'t3'!H32-'t3'!J32+'t3'!L32+'t3'!N32+'t3'!P32</f>
        <v>0</v>
      </c>
      <c r="AZ32" s="3">
        <f>'t1'!M32</f>
        <v>0</v>
      </c>
    </row>
    <row r="33" spans="1:52" ht="12.75" customHeight="1" thickBot="1" x14ac:dyDescent="0.25">
      <c r="A33" s="16" t="str">
        <f>'t1'!A33</f>
        <v>COLLABORATORE A TEMPO DETERMINATO</v>
      </c>
      <c r="B33" s="128" t="str">
        <f>'t1'!B33</f>
        <v>000096</v>
      </c>
      <c r="C33" s="184"/>
      <c r="D33" s="217"/>
      <c r="E33" s="184"/>
      <c r="F33" s="217"/>
      <c r="G33" s="184"/>
      <c r="H33" s="217"/>
      <c r="I33" s="184"/>
      <c r="J33" s="217"/>
      <c r="K33" s="184"/>
      <c r="L33" s="217"/>
      <c r="M33" s="184"/>
      <c r="N33" s="217"/>
      <c r="O33" s="184"/>
      <c r="P33" s="217"/>
      <c r="Q33" s="184"/>
      <c r="R33" s="217"/>
      <c r="S33" s="184"/>
      <c r="T33" s="217"/>
      <c r="U33" s="184"/>
      <c r="V33" s="217"/>
      <c r="W33" s="184"/>
      <c r="X33" s="217"/>
      <c r="Y33" s="184"/>
      <c r="Z33" s="217"/>
      <c r="AA33" s="184"/>
      <c r="AB33" s="217"/>
      <c r="AC33" s="184"/>
      <c r="AD33" s="217"/>
      <c r="AE33" s="184"/>
      <c r="AF33" s="217"/>
      <c r="AG33" s="184"/>
      <c r="AH33" s="217"/>
      <c r="AI33" s="184"/>
      <c r="AJ33" s="217"/>
      <c r="AK33" s="184"/>
      <c r="AL33" s="217"/>
      <c r="AM33" s="184">
        <v>5</v>
      </c>
      <c r="AN33" s="217">
        <v>6</v>
      </c>
      <c r="AO33" s="184"/>
      <c r="AP33" s="217"/>
      <c r="AQ33" s="184"/>
      <c r="AR33" s="217"/>
      <c r="AS33" s="184"/>
      <c r="AT33" s="217"/>
      <c r="AU33" s="395">
        <f t="shared" si="3"/>
        <v>5</v>
      </c>
      <c r="AV33" s="364">
        <f t="shared" si="4"/>
        <v>6</v>
      </c>
      <c r="AW33" s="613" t="str">
        <f t="shared" si="5"/>
        <v>OK</v>
      </c>
      <c r="AX33" s="614">
        <f>'t1'!K33-'t3'!C33-'t3'!E33-'t3'!G33-'t3'!I33+'t3'!K33+'t3'!M33+'t3'!O33</f>
        <v>5</v>
      </c>
      <c r="AY33" s="615">
        <f>'t1'!L33-'t3'!D33-'t3'!F33-'t3'!H33-'t3'!J33+'t3'!L33+'t3'!N33+'t3'!P33</f>
        <v>6</v>
      </c>
      <c r="AZ33" s="3">
        <f>'t1'!M33</f>
        <v>11</v>
      </c>
    </row>
    <row r="34" spans="1:52" ht="17.25" customHeight="1" thickTop="1" thickBot="1" x14ac:dyDescent="0.25">
      <c r="A34" s="12" t="s">
        <v>71</v>
      </c>
      <c r="B34" s="130"/>
      <c r="C34" s="365">
        <f t="shared" ref="C34:AV34" si="6">SUM(C6:C33)</f>
        <v>1</v>
      </c>
      <c r="D34" s="366">
        <f t="shared" si="6"/>
        <v>1</v>
      </c>
      <c r="E34" s="365">
        <f t="shared" si="6"/>
        <v>0</v>
      </c>
      <c r="F34" s="366">
        <f t="shared" si="6"/>
        <v>0</v>
      </c>
      <c r="G34" s="365">
        <f t="shared" si="6"/>
        <v>0</v>
      </c>
      <c r="H34" s="366">
        <f t="shared" si="6"/>
        <v>0</v>
      </c>
      <c r="I34" s="365">
        <f t="shared" si="6"/>
        <v>0</v>
      </c>
      <c r="J34" s="366">
        <f t="shared" si="6"/>
        <v>0</v>
      </c>
      <c r="K34" s="365">
        <f t="shared" si="6"/>
        <v>0</v>
      </c>
      <c r="L34" s="366">
        <f t="shared" si="6"/>
        <v>0</v>
      </c>
      <c r="M34" s="365">
        <f t="shared" si="6"/>
        <v>0</v>
      </c>
      <c r="N34" s="366">
        <f t="shared" si="6"/>
        <v>0</v>
      </c>
      <c r="O34" s="365">
        <f t="shared" si="6"/>
        <v>0</v>
      </c>
      <c r="P34" s="366">
        <f t="shared" si="6"/>
        <v>0</v>
      </c>
      <c r="Q34" s="365">
        <f t="shared" si="6"/>
        <v>2</v>
      </c>
      <c r="R34" s="366">
        <f t="shared" si="6"/>
        <v>3</v>
      </c>
      <c r="S34" s="365">
        <f t="shared" si="6"/>
        <v>0</v>
      </c>
      <c r="T34" s="366">
        <f t="shared" si="6"/>
        <v>0</v>
      </c>
      <c r="U34" s="365">
        <f t="shared" si="6"/>
        <v>0</v>
      </c>
      <c r="V34" s="366">
        <f t="shared" si="6"/>
        <v>0</v>
      </c>
      <c r="W34" s="365">
        <f t="shared" si="6"/>
        <v>0</v>
      </c>
      <c r="X34" s="366">
        <f t="shared" si="6"/>
        <v>0</v>
      </c>
      <c r="Y34" s="365">
        <f t="shared" si="6"/>
        <v>0</v>
      </c>
      <c r="Z34" s="366">
        <f t="shared" si="6"/>
        <v>0</v>
      </c>
      <c r="AA34" s="365">
        <f t="shared" si="6"/>
        <v>0</v>
      </c>
      <c r="AB34" s="366">
        <f t="shared" si="6"/>
        <v>0</v>
      </c>
      <c r="AC34" s="365">
        <f t="shared" si="6"/>
        <v>0</v>
      </c>
      <c r="AD34" s="366">
        <f t="shared" si="6"/>
        <v>0</v>
      </c>
      <c r="AE34" s="365">
        <f t="shared" si="6"/>
        <v>0</v>
      </c>
      <c r="AF34" s="366">
        <f t="shared" si="6"/>
        <v>0</v>
      </c>
      <c r="AG34" s="365">
        <f t="shared" si="6"/>
        <v>0</v>
      </c>
      <c r="AH34" s="366">
        <f t="shared" si="6"/>
        <v>0</v>
      </c>
      <c r="AI34" s="365">
        <f t="shared" si="6"/>
        <v>0</v>
      </c>
      <c r="AJ34" s="366">
        <f t="shared" si="6"/>
        <v>0</v>
      </c>
      <c r="AK34" s="365">
        <f t="shared" si="6"/>
        <v>0</v>
      </c>
      <c r="AL34" s="366">
        <f t="shared" si="6"/>
        <v>0</v>
      </c>
      <c r="AM34" s="365">
        <f t="shared" si="6"/>
        <v>1099</v>
      </c>
      <c r="AN34" s="366">
        <f t="shared" si="6"/>
        <v>1443</v>
      </c>
      <c r="AO34" s="365">
        <f t="shared" si="6"/>
        <v>0</v>
      </c>
      <c r="AP34" s="366">
        <f t="shared" si="6"/>
        <v>0</v>
      </c>
      <c r="AQ34" s="365">
        <f t="shared" si="6"/>
        <v>0</v>
      </c>
      <c r="AR34" s="366">
        <f t="shared" si="6"/>
        <v>0</v>
      </c>
      <c r="AS34" s="365">
        <f t="shared" si="6"/>
        <v>0</v>
      </c>
      <c r="AT34" s="366">
        <f t="shared" si="6"/>
        <v>0</v>
      </c>
      <c r="AU34" s="365">
        <f t="shared" si="6"/>
        <v>1102</v>
      </c>
      <c r="AV34" s="367">
        <f t="shared" si="6"/>
        <v>1447</v>
      </c>
      <c r="AW34" s="613" t="str">
        <f>IF((AU58+AV58)=(AX34+AY34),"OK","Controllare totale")</f>
        <v>Controllare totale</v>
      </c>
      <c r="AX34" s="616">
        <f>SUM(AX6:AX33)</f>
        <v>1102</v>
      </c>
      <c r="AY34" s="617">
        <f>SUM(AY6:AY33)</f>
        <v>1447</v>
      </c>
    </row>
    <row r="35" spans="1:52" ht="17.25" customHeight="1" x14ac:dyDescent="0.2">
      <c r="C35" s="17" t="str">
        <f>'t1'!$A$35</f>
        <v>(a) personale a tempo indeterminato al quale viene applicato un contratto di lavoro di tipo privatistico (es.:tipografico,chimico,edile,metalmeccanico,portierato, ecc.)</v>
      </c>
      <c r="S35" s="2"/>
      <c r="T35" s="2"/>
      <c r="AA35" s="17" t="str">
        <f>'t1'!$A$35</f>
        <v>(a) personale a tempo indeterminato al quale viene applicato un contratto di lavoro di tipo privatistico (es.:tipografico,chimico,edile,metalmeccanico,portierato, ecc.)</v>
      </c>
    </row>
    <row r="36" spans="1:52" ht="11.25" x14ac:dyDescent="0.2">
      <c r="C36" s="17" t="str">
        <f>'t1'!$A$36</f>
        <v>(b) cfr." istruzioni generali e specifiche di comparto" e "glossario"</v>
      </c>
      <c r="AA36" s="17" t="str">
        <f>'t1'!$A$36</f>
        <v>(b) cfr." istruzioni generali e specifiche di comparto" e "glossario"</v>
      </c>
    </row>
  </sheetData>
  <sheetProtection password="DD41" sheet="1" formatColumns="0" selectLockedCells="1"/>
  <mergeCells count="6">
    <mergeCell ref="A1:A2"/>
    <mergeCell ref="G4:H4"/>
    <mergeCell ref="S2:Z2"/>
    <mergeCell ref="AO2:AV2"/>
    <mergeCell ref="C1:W1"/>
    <mergeCell ref="AA1:AS1"/>
  </mergeCells>
  <phoneticPr fontId="30" type="noConversion"/>
  <conditionalFormatting sqref="A6:AV33">
    <cfRule type="expression" dxfId="24" priority="1" stopIfTrue="1">
      <formula>$AZ6&gt;0</formula>
    </cfRule>
  </conditionalFormatting>
  <printOptions horizontalCentered="1" verticalCentered="1"/>
  <pageMargins left="0.25" right="0.25" top="0.75" bottom="0.75" header="0.3" footer="0.3"/>
  <pageSetup paperSize="8" fitToWidth="0" orientation="landscape" verticalDpi="4294967292"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9">
    <pageSetUpPr fitToPage="1"/>
  </sheetPr>
  <dimension ref="A1:BC38"/>
  <sheetViews>
    <sheetView showGridLines="0" zoomScaleNormal="100" workbookViewId="0">
      <pane xSplit="2" ySplit="7" topLeftCell="C8" activePane="bottomRight" state="frozen"/>
      <selection activeCell="A2" sqref="A2"/>
      <selection pane="topRight" activeCell="A2" sqref="A2"/>
      <selection pane="bottomLeft" activeCell="A2" sqref="A2"/>
      <selection pane="bottomRight" activeCell="AO23" sqref="AO23"/>
    </sheetView>
  </sheetViews>
  <sheetFormatPr defaultColWidth="10.6640625" defaultRowHeight="11.25" x14ac:dyDescent="0.2"/>
  <cols>
    <col min="1" max="1" width="44" style="21" customWidth="1"/>
    <col min="2" max="2" width="8.6640625" style="20" customWidth="1"/>
    <col min="3" max="8" width="11.33203125" style="21" hidden="1" customWidth="1"/>
    <col min="9" max="12" width="10.33203125" style="21" hidden="1" customWidth="1"/>
    <col min="13" max="16" width="10.6640625" style="21" hidden="1" customWidth="1"/>
    <col min="17" max="24" width="9.33203125" style="21" hidden="1" customWidth="1"/>
    <col min="25" max="28" width="10.6640625" style="21" hidden="1" customWidth="1"/>
    <col min="29" max="34" width="11.33203125" style="21" customWidth="1"/>
    <col min="35" max="38" width="10.33203125" style="21" customWidth="1"/>
    <col min="39" max="42" width="10.6640625" style="21"/>
    <col min="43" max="50" width="9.33203125" style="21" customWidth="1"/>
    <col min="51" max="52" width="10.6640625" style="21"/>
    <col min="53" max="53" width="10.6640625" style="21" hidden="1" customWidth="1"/>
    <col min="54" max="16384" width="10.6640625" style="21"/>
  </cols>
  <sheetData>
    <row r="1" spans="1:55" s="3" customFormat="1" ht="43.5" customHeight="1" x14ac:dyDescent="0.2">
      <c r="A1" s="765" t="str">
        <f>'t1'!A1</f>
        <v>REGIONE VALLE D'AOSTA - anno 2024</v>
      </c>
      <c r="B1" s="765"/>
      <c r="C1" s="765"/>
      <c r="D1" s="765"/>
      <c r="E1" s="765"/>
      <c r="F1" s="765"/>
      <c r="G1" s="765"/>
      <c r="H1" s="765"/>
      <c r="I1" s="765"/>
      <c r="J1" s="765"/>
      <c r="K1" s="765"/>
      <c r="L1" s="765"/>
      <c r="M1" s="343"/>
      <c r="N1" s="21"/>
      <c r="O1" s="21"/>
      <c r="P1" s="21"/>
      <c r="Q1" s="21"/>
      <c r="R1" s="21"/>
      <c r="S1" s="21"/>
      <c r="T1" s="21"/>
      <c r="U1" s="21"/>
      <c r="V1" s="21"/>
      <c r="W1" s="21"/>
      <c r="X1" s="21"/>
      <c r="Y1" s="21"/>
      <c r="Z1" s="21"/>
      <c r="AA1" s="21"/>
      <c r="AB1" s="21"/>
      <c r="AR1" s="21"/>
      <c r="AS1" s="21"/>
      <c r="AT1" s="21"/>
      <c r="AU1" s="21"/>
      <c r="AV1" s="21"/>
      <c r="AW1" s="21"/>
      <c r="AX1" s="21"/>
      <c r="AY1" s="21"/>
      <c r="AZ1" s="21"/>
      <c r="BA1" s="21"/>
      <c r="BB1" s="21"/>
      <c r="BC1" s="21"/>
    </row>
    <row r="2" spans="1:55" ht="30" customHeight="1" thickBot="1" x14ac:dyDescent="0.25">
      <c r="A2" s="19"/>
      <c r="I2" s="1487"/>
      <c r="J2" s="1487"/>
      <c r="K2" s="1487"/>
      <c r="L2" s="1487"/>
      <c r="AI2" s="1487"/>
      <c r="AJ2" s="1487"/>
      <c r="AK2" s="1487"/>
      <c r="AL2" s="1487"/>
      <c r="AO2" s="1322"/>
      <c r="AP2" s="1322"/>
      <c r="AQ2" s="1322"/>
    </row>
    <row r="3" spans="1:55" ht="15.75" customHeight="1" thickBot="1" x14ac:dyDescent="0.25">
      <c r="A3" s="253"/>
      <c r="B3" s="258"/>
      <c r="C3" s="259" t="s">
        <v>248</v>
      </c>
      <c r="D3" s="259"/>
      <c r="E3" s="259"/>
      <c r="F3" s="259"/>
      <c r="G3" s="259"/>
      <c r="H3" s="259"/>
      <c r="I3" s="259"/>
      <c r="J3" s="260"/>
      <c r="K3" s="259"/>
      <c r="L3" s="260"/>
      <c r="M3" s="260"/>
      <c r="N3" s="260"/>
      <c r="O3" s="260"/>
      <c r="P3" s="260"/>
      <c r="Q3" s="260"/>
      <c r="R3" s="260"/>
      <c r="S3" s="260"/>
      <c r="T3" s="260"/>
      <c r="U3" s="260"/>
      <c r="V3" s="260"/>
      <c r="W3" s="260"/>
      <c r="X3" s="260"/>
      <c r="Y3" s="260"/>
      <c r="Z3" s="260"/>
      <c r="AC3" s="259" t="s">
        <v>248</v>
      </c>
      <c r="AD3" s="259"/>
      <c r="AE3" s="259"/>
      <c r="AF3" s="259"/>
      <c r="AG3" s="259"/>
      <c r="AH3" s="259"/>
      <c r="AI3" s="259"/>
      <c r="AJ3" s="260"/>
      <c r="AK3" s="259"/>
      <c r="AL3" s="260"/>
      <c r="AM3" s="260"/>
      <c r="AN3" s="260"/>
      <c r="AO3" s="260"/>
      <c r="AP3" s="260"/>
      <c r="AQ3" s="260"/>
      <c r="AR3" s="260"/>
      <c r="AS3" s="260"/>
      <c r="AT3" s="260"/>
      <c r="AU3" s="260"/>
      <c r="AV3" s="260"/>
      <c r="AW3" s="260"/>
      <c r="AX3" s="260"/>
      <c r="AY3" s="260"/>
      <c r="AZ3" s="260"/>
    </row>
    <row r="4" spans="1:55" ht="37.5" customHeight="1" thickTop="1" x14ac:dyDescent="0.2">
      <c r="A4" s="22" t="s">
        <v>140</v>
      </c>
      <c r="B4" s="23" t="s">
        <v>68</v>
      </c>
      <c r="C4" s="412" t="s">
        <v>73</v>
      </c>
      <c r="D4" s="413"/>
      <c r="E4" s="1531" t="s">
        <v>1084</v>
      </c>
      <c r="F4" s="1532"/>
      <c r="G4" s="1531" t="s">
        <v>1085</v>
      </c>
      <c r="H4" s="1532"/>
      <c r="I4" s="1527" t="s">
        <v>453</v>
      </c>
      <c r="J4" s="1511"/>
      <c r="K4" s="1527" t="s">
        <v>419</v>
      </c>
      <c r="L4" s="1511"/>
      <c r="M4" s="1528" t="s">
        <v>418</v>
      </c>
      <c r="N4" s="1511"/>
      <c r="O4" s="1527" t="s">
        <v>417</v>
      </c>
      <c r="P4" s="1511"/>
      <c r="Q4" s="1527" t="s">
        <v>387</v>
      </c>
      <c r="R4" s="1511"/>
      <c r="S4" s="1527" t="s">
        <v>182</v>
      </c>
      <c r="T4" s="1511"/>
      <c r="U4" s="1527" t="s">
        <v>64</v>
      </c>
      <c r="V4" s="1511"/>
      <c r="W4" s="1528" t="s">
        <v>1040</v>
      </c>
      <c r="X4" s="1511"/>
      <c r="Y4" s="342" t="s">
        <v>71</v>
      </c>
      <c r="Z4" s="341"/>
      <c r="AC4" s="412" t="s">
        <v>73</v>
      </c>
      <c r="AD4" s="413"/>
      <c r="AE4" s="1531" t="s">
        <v>1084</v>
      </c>
      <c r="AF4" s="1532"/>
      <c r="AG4" s="1531" t="s">
        <v>1085</v>
      </c>
      <c r="AH4" s="1532"/>
      <c r="AI4" s="1527" t="s">
        <v>453</v>
      </c>
      <c r="AJ4" s="1511"/>
      <c r="AK4" s="1527" t="s">
        <v>419</v>
      </c>
      <c r="AL4" s="1511"/>
      <c r="AM4" s="1528" t="s">
        <v>418</v>
      </c>
      <c r="AN4" s="1511"/>
      <c r="AO4" s="1527" t="s">
        <v>417</v>
      </c>
      <c r="AP4" s="1511"/>
      <c r="AQ4" s="1527" t="s">
        <v>387</v>
      </c>
      <c r="AR4" s="1511"/>
      <c r="AS4" s="1527" t="s">
        <v>182</v>
      </c>
      <c r="AT4" s="1511"/>
      <c r="AU4" s="1527" t="s">
        <v>64</v>
      </c>
      <c r="AV4" s="1511"/>
      <c r="AW4" s="1528" t="s">
        <v>1040</v>
      </c>
      <c r="AX4" s="1511"/>
      <c r="AY4" s="342" t="s">
        <v>71</v>
      </c>
      <c r="AZ4" s="341"/>
    </row>
    <row r="5" spans="1:55" x14ac:dyDescent="0.2">
      <c r="A5" s="22"/>
      <c r="B5" s="23"/>
      <c r="C5" s="1529" t="s">
        <v>309</v>
      </c>
      <c r="D5" s="1530"/>
      <c r="E5" s="1529" t="s">
        <v>1083</v>
      </c>
      <c r="F5" s="1530"/>
      <c r="G5" s="1529" t="s">
        <v>1086</v>
      </c>
      <c r="H5" s="1530"/>
      <c r="I5" s="1529" t="s">
        <v>452</v>
      </c>
      <c r="J5" s="1530"/>
      <c r="K5" s="1529" t="s">
        <v>420</v>
      </c>
      <c r="L5" s="1530"/>
      <c r="M5" s="1529" t="s">
        <v>421</v>
      </c>
      <c r="N5" s="1530"/>
      <c r="O5" s="1525" t="s">
        <v>422</v>
      </c>
      <c r="P5" s="1526"/>
      <c r="Q5" s="1525" t="s">
        <v>310</v>
      </c>
      <c r="R5" s="1526"/>
      <c r="S5" s="1525" t="s">
        <v>311</v>
      </c>
      <c r="T5" s="1526"/>
      <c r="U5" s="1525" t="s">
        <v>348</v>
      </c>
      <c r="V5" s="1526"/>
      <c r="W5" s="1525" t="s">
        <v>993</v>
      </c>
      <c r="X5" s="1526"/>
      <c r="Y5" s="344"/>
      <c r="Z5" s="399"/>
      <c r="AC5" s="1529" t="s">
        <v>309</v>
      </c>
      <c r="AD5" s="1530"/>
      <c r="AE5" s="1529" t="s">
        <v>1083</v>
      </c>
      <c r="AF5" s="1530"/>
      <c r="AG5" s="1529" t="s">
        <v>1086</v>
      </c>
      <c r="AH5" s="1530"/>
      <c r="AI5" s="1529" t="s">
        <v>452</v>
      </c>
      <c r="AJ5" s="1530"/>
      <c r="AK5" s="1529" t="s">
        <v>420</v>
      </c>
      <c r="AL5" s="1530"/>
      <c r="AM5" s="1529" t="s">
        <v>421</v>
      </c>
      <c r="AN5" s="1530"/>
      <c r="AO5" s="1525" t="s">
        <v>422</v>
      </c>
      <c r="AP5" s="1526"/>
      <c r="AQ5" s="1525" t="s">
        <v>310</v>
      </c>
      <c r="AR5" s="1526"/>
      <c r="AS5" s="1525" t="s">
        <v>311</v>
      </c>
      <c r="AT5" s="1526"/>
      <c r="AU5" s="1525" t="s">
        <v>348</v>
      </c>
      <c r="AV5" s="1526"/>
      <c r="AW5" s="1525" t="s">
        <v>993</v>
      </c>
      <c r="AX5" s="1526"/>
      <c r="AY5" s="344"/>
      <c r="AZ5" s="399"/>
    </row>
    <row r="6" spans="1:55" ht="12" customHeight="1" x14ac:dyDescent="0.2">
      <c r="A6" s="22"/>
      <c r="B6" s="23"/>
      <c r="C6" s="236" t="s">
        <v>69</v>
      </c>
      <c r="D6" s="345" t="s">
        <v>70</v>
      </c>
      <c r="E6" s="236" t="s">
        <v>69</v>
      </c>
      <c r="F6" s="345" t="s">
        <v>70</v>
      </c>
      <c r="G6" s="236" t="s">
        <v>69</v>
      </c>
      <c r="H6" s="345" t="s">
        <v>70</v>
      </c>
      <c r="I6" s="236" t="s">
        <v>69</v>
      </c>
      <c r="J6" s="345" t="s">
        <v>70</v>
      </c>
      <c r="K6" s="236" t="s">
        <v>69</v>
      </c>
      <c r="L6" s="345" t="s">
        <v>70</v>
      </c>
      <c r="M6" s="236" t="s">
        <v>69</v>
      </c>
      <c r="N6" s="345" t="s">
        <v>70</v>
      </c>
      <c r="O6" s="236" t="s">
        <v>69</v>
      </c>
      <c r="P6" s="345" t="s">
        <v>70</v>
      </c>
      <c r="Q6" s="236" t="s">
        <v>69</v>
      </c>
      <c r="R6" s="521" t="s">
        <v>70</v>
      </c>
      <c r="S6" s="236" t="s">
        <v>69</v>
      </c>
      <c r="T6" s="521" t="s">
        <v>70</v>
      </c>
      <c r="U6" s="236" t="s">
        <v>69</v>
      </c>
      <c r="V6" s="518" t="s">
        <v>70</v>
      </c>
      <c r="W6" s="236" t="s">
        <v>69</v>
      </c>
      <c r="X6" s="518" t="s">
        <v>70</v>
      </c>
      <c r="Y6" s="236" t="s">
        <v>69</v>
      </c>
      <c r="Z6" s="1324" t="s">
        <v>70</v>
      </c>
      <c r="AA6" s="1325"/>
      <c r="AC6" s="236" t="s">
        <v>69</v>
      </c>
      <c r="AD6" s="345" t="s">
        <v>70</v>
      </c>
      <c r="AE6" s="236" t="s">
        <v>69</v>
      </c>
      <c r="AF6" s="345" t="s">
        <v>70</v>
      </c>
      <c r="AG6" s="236" t="s">
        <v>69</v>
      </c>
      <c r="AH6" s="345" t="s">
        <v>70</v>
      </c>
      <c r="AI6" s="236" t="s">
        <v>69</v>
      </c>
      <c r="AJ6" s="345" t="s">
        <v>70</v>
      </c>
      <c r="AK6" s="236" t="s">
        <v>69</v>
      </c>
      <c r="AL6" s="345" t="s">
        <v>70</v>
      </c>
      <c r="AM6" s="236" t="s">
        <v>69</v>
      </c>
      <c r="AN6" s="345" t="s">
        <v>70</v>
      </c>
      <c r="AO6" s="236" t="s">
        <v>69</v>
      </c>
      <c r="AP6" s="345" t="s">
        <v>70</v>
      </c>
      <c r="AQ6" s="236" t="s">
        <v>69</v>
      </c>
      <c r="AR6" s="521" t="s">
        <v>70</v>
      </c>
      <c r="AS6" s="236" t="s">
        <v>69</v>
      </c>
      <c r="AT6" s="521" t="s">
        <v>70</v>
      </c>
      <c r="AU6" s="236" t="s">
        <v>69</v>
      </c>
      <c r="AV6" s="518" t="s">
        <v>70</v>
      </c>
      <c r="AW6" s="236" t="s">
        <v>69</v>
      </c>
      <c r="AX6" s="518" t="s">
        <v>70</v>
      </c>
      <c r="AY6" s="236" t="s">
        <v>69</v>
      </c>
      <c r="AZ6" s="521" t="s">
        <v>70</v>
      </c>
    </row>
    <row r="7" spans="1:55" s="247" customFormat="1" thickBot="1" x14ac:dyDescent="0.2">
      <c r="A7" s="754" t="s">
        <v>635</v>
      </c>
      <c r="B7" s="246"/>
      <c r="C7" s="245" t="s">
        <v>74</v>
      </c>
      <c r="D7" s="246" t="s">
        <v>74</v>
      </c>
      <c r="E7" s="245" t="s">
        <v>74</v>
      </c>
      <c r="F7" s="246" t="s">
        <v>74</v>
      </c>
      <c r="G7" s="245" t="s">
        <v>74</v>
      </c>
      <c r="H7" s="246" t="s">
        <v>74</v>
      </c>
      <c r="I7" s="245" t="s">
        <v>74</v>
      </c>
      <c r="J7" s="246" t="s">
        <v>74</v>
      </c>
      <c r="K7" s="245" t="s">
        <v>74</v>
      </c>
      <c r="L7" s="246" t="s">
        <v>74</v>
      </c>
      <c r="M7" s="245" t="s">
        <v>74</v>
      </c>
      <c r="N7" s="246" t="s">
        <v>74</v>
      </c>
      <c r="O7" s="245" t="s">
        <v>74</v>
      </c>
      <c r="P7" s="246" t="s">
        <v>74</v>
      </c>
      <c r="Q7" s="245" t="s">
        <v>74</v>
      </c>
      <c r="R7" s="522" t="s">
        <v>74</v>
      </c>
      <c r="S7" s="245" t="s">
        <v>74</v>
      </c>
      <c r="T7" s="522" t="s">
        <v>74</v>
      </c>
      <c r="U7" s="245" t="s">
        <v>74</v>
      </c>
      <c r="V7" s="522" t="s">
        <v>74</v>
      </c>
      <c r="W7" s="245" t="s">
        <v>74</v>
      </c>
      <c r="X7" s="522" t="s">
        <v>74</v>
      </c>
      <c r="Y7" s="245" t="s">
        <v>74</v>
      </c>
      <c r="Z7" s="522" t="s">
        <v>74</v>
      </c>
      <c r="AC7" s="245" t="s">
        <v>74</v>
      </c>
      <c r="AD7" s="246" t="s">
        <v>74</v>
      </c>
      <c r="AE7" s="245" t="s">
        <v>74</v>
      </c>
      <c r="AF7" s="246" t="s">
        <v>74</v>
      </c>
      <c r="AG7" s="245" t="s">
        <v>74</v>
      </c>
      <c r="AH7" s="246" t="s">
        <v>74</v>
      </c>
      <c r="AI7" s="245" t="s">
        <v>74</v>
      </c>
      <c r="AJ7" s="246" t="s">
        <v>74</v>
      </c>
      <c r="AK7" s="245" t="s">
        <v>74</v>
      </c>
      <c r="AL7" s="246" t="s">
        <v>74</v>
      </c>
      <c r="AM7" s="245" t="s">
        <v>74</v>
      </c>
      <c r="AN7" s="246" t="s">
        <v>74</v>
      </c>
      <c r="AO7" s="245" t="s">
        <v>74</v>
      </c>
      <c r="AP7" s="246" t="s">
        <v>74</v>
      </c>
      <c r="AQ7" s="245" t="s">
        <v>74</v>
      </c>
      <c r="AR7" s="522" t="s">
        <v>74</v>
      </c>
      <c r="AS7" s="245" t="s">
        <v>74</v>
      </c>
      <c r="AT7" s="522" t="s">
        <v>74</v>
      </c>
      <c r="AU7" s="245" t="s">
        <v>74</v>
      </c>
      <c r="AV7" s="522" t="s">
        <v>74</v>
      </c>
      <c r="AW7" s="245" t="s">
        <v>74</v>
      </c>
      <c r="AX7" s="522" t="s">
        <v>74</v>
      </c>
      <c r="AY7" s="245" t="s">
        <v>74</v>
      </c>
      <c r="AZ7" s="522" t="s">
        <v>74</v>
      </c>
    </row>
    <row r="8" spans="1:55" ht="12.95" customHeight="1" thickTop="1" x14ac:dyDescent="0.2">
      <c r="A8" s="129" t="str">
        <f>'t1'!A6</f>
        <v>SEGRETARIO I FASCIA</v>
      </c>
      <c r="B8" s="195" t="str">
        <f>'t1'!B6</f>
        <v>0D0102</v>
      </c>
      <c r="C8" s="766">
        <f t="shared" ref="C8:F8" si="0">ROUND(AC8,0)</f>
        <v>0</v>
      </c>
      <c r="D8" s="767">
        <f t="shared" si="0"/>
        <v>0</v>
      </c>
      <c r="E8" s="766">
        <f t="shared" si="0"/>
        <v>0</v>
      </c>
      <c r="F8" s="767">
        <f t="shared" si="0"/>
        <v>0</v>
      </c>
      <c r="G8" s="766">
        <f t="shared" ref="G8:G35" si="1">ROUND(AG8,0)</f>
        <v>0</v>
      </c>
      <c r="H8" s="767">
        <f t="shared" ref="H8:H35" si="2">ROUND(AH8,0)</f>
        <v>0</v>
      </c>
      <c r="I8" s="766">
        <f t="shared" ref="I8:P8" si="3">ROUND(AI8,0)</f>
        <v>0</v>
      </c>
      <c r="J8" s="767">
        <f t="shared" si="3"/>
        <v>0</v>
      </c>
      <c r="K8" s="766">
        <f t="shared" si="3"/>
        <v>0</v>
      </c>
      <c r="L8" s="767">
        <f t="shared" si="3"/>
        <v>0</v>
      </c>
      <c r="M8" s="766">
        <f t="shared" si="3"/>
        <v>0</v>
      </c>
      <c r="N8" s="767">
        <f t="shared" si="3"/>
        <v>0</v>
      </c>
      <c r="O8" s="766">
        <f t="shared" si="3"/>
        <v>0</v>
      </c>
      <c r="P8" s="767">
        <f t="shared" si="3"/>
        <v>0</v>
      </c>
      <c r="Q8" s="766">
        <f t="shared" ref="Q8:T11" si="4">ROUND(AQ8,0)</f>
        <v>0</v>
      </c>
      <c r="R8" s="768">
        <f t="shared" si="4"/>
        <v>0</v>
      </c>
      <c r="S8" s="766">
        <f t="shared" si="4"/>
        <v>0</v>
      </c>
      <c r="T8" s="768">
        <f t="shared" si="4"/>
        <v>0</v>
      </c>
      <c r="U8" s="766">
        <f t="shared" ref="U8:U35" si="5">ROUND(AU8,0)</f>
        <v>0</v>
      </c>
      <c r="V8" s="768">
        <f t="shared" ref="V8:V35" si="6">ROUND(AV8,0)</f>
        <v>0</v>
      </c>
      <c r="W8" s="766">
        <f t="shared" ref="W8:X11" si="7">ROUND(AW8,0)</f>
        <v>0</v>
      </c>
      <c r="X8" s="769">
        <f t="shared" si="7"/>
        <v>0</v>
      </c>
      <c r="Y8" s="442">
        <f>SUM(C8,E8,I8,K8,M8,O8,Q8,S8,U8,W8)</f>
        <v>0</v>
      </c>
      <c r="Z8" s="443">
        <f>SUM(D8,F8,J8,L8,N8,P8,R8,T8,V8,X8)</f>
        <v>0</v>
      </c>
      <c r="AA8" s="21">
        <f>'t1'!M6</f>
        <v>0</v>
      </c>
      <c r="AC8" s="234"/>
      <c r="AD8" s="235"/>
      <c r="AE8" s="234"/>
      <c r="AF8" s="235"/>
      <c r="AG8" s="234"/>
      <c r="AH8" s="235"/>
      <c r="AI8" s="234"/>
      <c r="AJ8" s="235"/>
      <c r="AK8" s="234"/>
      <c r="AL8" s="235"/>
      <c r="AM8" s="234"/>
      <c r="AN8" s="235"/>
      <c r="AO8" s="234"/>
      <c r="AP8" s="235"/>
      <c r="AQ8" s="234"/>
      <c r="AR8" s="523"/>
      <c r="AS8" s="234"/>
      <c r="AT8" s="523"/>
      <c r="AU8" s="234"/>
      <c r="AV8" s="523"/>
      <c r="AW8" s="234"/>
      <c r="AX8" s="519"/>
      <c r="AY8" s="1266">
        <f>SUM(AC8,AE8,AG8,AI8,AK8,AM8,AO8,AQ8,AS8,AU8,AW8)</f>
        <v>0</v>
      </c>
      <c r="AZ8" s="1267">
        <f>SUM(AD8,AF8,AH8,AJ8,AL8,AN8,AP8,AR8,AT8,AV8,AX8)</f>
        <v>0</v>
      </c>
      <c r="BA8" s="21">
        <f>'t1'!AR6</f>
        <v>0</v>
      </c>
    </row>
    <row r="9" spans="1:55" ht="12.95" customHeight="1" x14ac:dyDescent="0.2">
      <c r="A9" s="129" t="str">
        <f>'t1'!A7</f>
        <v>SEGRETARIO II FASCIA</v>
      </c>
      <c r="B9" s="195" t="str">
        <f>'t1'!B7</f>
        <v>0D0103</v>
      </c>
      <c r="C9" s="766">
        <f t="shared" ref="C9:F11" si="8">ROUND(AC9,0)</f>
        <v>0</v>
      </c>
      <c r="D9" s="767">
        <f t="shared" si="8"/>
        <v>0</v>
      </c>
      <c r="E9" s="766">
        <f t="shared" si="8"/>
        <v>0</v>
      </c>
      <c r="F9" s="767">
        <f t="shared" si="8"/>
        <v>0</v>
      </c>
      <c r="G9" s="766">
        <f t="shared" si="1"/>
        <v>0</v>
      </c>
      <c r="H9" s="767">
        <f t="shared" si="2"/>
        <v>0</v>
      </c>
      <c r="I9" s="766">
        <f t="shared" ref="I9:N11" si="9">ROUND(AI9,0)</f>
        <v>0</v>
      </c>
      <c r="J9" s="767">
        <f t="shared" si="9"/>
        <v>0</v>
      </c>
      <c r="K9" s="766">
        <f t="shared" si="9"/>
        <v>0</v>
      </c>
      <c r="L9" s="767">
        <f t="shared" si="9"/>
        <v>0</v>
      </c>
      <c r="M9" s="766">
        <f t="shared" si="9"/>
        <v>0</v>
      </c>
      <c r="N9" s="767">
        <f t="shared" si="9"/>
        <v>0</v>
      </c>
      <c r="O9" s="766">
        <f t="shared" ref="O9:P11" si="10">ROUND(AO9,0)</f>
        <v>0</v>
      </c>
      <c r="P9" s="767">
        <f t="shared" si="10"/>
        <v>0</v>
      </c>
      <c r="Q9" s="766">
        <f t="shared" si="4"/>
        <v>0</v>
      </c>
      <c r="R9" s="768">
        <f t="shared" si="4"/>
        <v>0</v>
      </c>
      <c r="S9" s="766">
        <f t="shared" si="4"/>
        <v>0</v>
      </c>
      <c r="T9" s="768">
        <f t="shared" si="4"/>
        <v>0</v>
      </c>
      <c r="U9" s="766">
        <f t="shared" si="5"/>
        <v>0</v>
      </c>
      <c r="V9" s="768">
        <f t="shared" si="6"/>
        <v>0</v>
      </c>
      <c r="W9" s="766">
        <f t="shared" si="7"/>
        <v>0</v>
      </c>
      <c r="X9" s="769">
        <f t="shared" si="7"/>
        <v>0</v>
      </c>
      <c r="Y9" s="442">
        <f t="shared" ref="Y9:Y35" si="11">SUM(C9,E9,I9,K9,M9,O9,Q9,S9,U9,W9)</f>
        <v>0</v>
      </c>
      <c r="Z9" s="443">
        <f t="shared" ref="Z9:Z35" si="12">SUM(D9,F9,J9,L9,N9,P9,R9,T9,V9,X9)</f>
        <v>0</v>
      </c>
      <c r="AA9" s="21">
        <f>'t1'!M7</f>
        <v>0</v>
      </c>
      <c r="AC9" s="234"/>
      <c r="AD9" s="235"/>
      <c r="AE9" s="234"/>
      <c r="AF9" s="235"/>
      <c r="AG9" s="234"/>
      <c r="AH9" s="235"/>
      <c r="AI9" s="234"/>
      <c r="AJ9" s="235"/>
      <c r="AK9" s="234"/>
      <c r="AL9" s="235"/>
      <c r="AM9" s="234"/>
      <c r="AN9" s="235"/>
      <c r="AO9" s="234"/>
      <c r="AP9" s="235"/>
      <c r="AQ9" s="234"/>
      <c r="AR9" s="523"/>
      <c r="AS9" s="234"/>
      <c r="AT9" s="523"/>
      <c r="AU9" s="234"/>
      <c r="AV9" s="523"/>
      <c r="AW9" s="234"/>
      <c r="AX9" s="519"/>
      <c r="AY9" s="442">
        <f t="shared" ref="AY9:AY35" si="13">SUM(AC9,AE9,AG9,AI9,AK9,AM9,AO9,AQ9,AS9,AU9,AW9)</f>
        <v>0</v>
      </c>
      <c r="AZ9" s="443">
        <f t="shared" ref="AZ9:AZ35" si="14">SUM(AD9,AF9,AH9,AJ9,AL9,AN9,AP9,AR9,AT9,AV9,AX9)</f>
        <v>0</v>
      </c>
      <c r="BA9" s="21">
        <f>'t1'!AR7</f>
        <v>0</v>
      </c>
    </row>
    <row r="10" spans="1:55" ht="12.95" customHeight="1" x14ac:dyDescent="0.2">
      <c r="A10" s="129" t="str">
        <f>'t1'!A8</f>
        <v>SEGRETARIO III FASCIA</v>
      </c>
      <c r="B10" s="195" t="str">
        <f>'t1'!B8</f>
        <v>0D0485</v>
      </c>
      <c r="C10" s="766">
        <f t="shared" si="8"/>
        <v>0</v>
      </c>
      <c r="D10" s="767">
        <f t="shared" si="8"/>
        <v>0</v>
      </c>
      <c r="E10" s="766">
        <f t="shared" si="8"/>
        <v>0</v>
      </c>
      <c r="F10" s="767">
        <f t="shared" si="8"/>
        <v>0</v>
      </c>
      <c r="G10" s="766">
        <f t="shared" si="1"/>
        <v>0</v>
      </c>
      <c r="H10" s="767">
        <f t="shared" si="2"/>
        <v>0</v>
      </c>
      <c r="I10" s="766">
        <f t="shared" si="9"/>
        <v>0</v>
      </c>
      <c r="J10" s="767">
        <f t="shared" si="9"/>
        <v>0</v>
      </c>
      <c r="K10" s="766">
        <f t="shared" si="9"/>
        <v>0</v>
      </c>
      <c r="L10" s="767">
        <f t="shared" si="9"/>
        <v>0</v>
      </c>
      <c r="M10" s="766">
        <f t="shared" si="9"/>
        <v>0</v>
      </c>
      <c r="N10" s="767">
        <f t="shared" si="9"/>
        <v>0</v>
      </c>
      <c r="O10" s="766">
        <f t="shared" si="10"/>
        <v>0</v>
      </c>
      <c r="P10" s="767">
        <f t="shared" si="10"/>
        <v>0</v>
      </c>
      <c r="Q10" s="766">
        <f t="shared" si="4"/>
        <v>0</v>
      </c>
      <c r="R10" s="768">
        <f t="shared" si="4"/>
        <v>0</v>
      </c>
      <c r="S10" s="766">
        <f t="shared" si="4"/>
        <v>0</v>
      </c>
      <c r="T10" s="768">
        <f t="shared" si="4"/>
        <v>0</v>
      </c>
      <c r="U10" s="766">
        <f t="shared" si="5"/>
        <v>0</v>
      </c>
      <c r="V10" s="768">
        <f t="shared" si="6"/>
        <v>0</v>
      </c>
      <c r="W10" s="766">
        <f t="shared" si="7"/>
        <v>0</v>
      </c>
      <c r="X10" s="769">
        <f t="shared" si="7"/>
        <v>0</v>
      </c>
      <c r="Y10" s="442">
        <f t="shared" si="11"/>
        <v>0</v>
      </c>
      <c r="Z10" s="443">
        <f t="shared" si="12"/>
        <v>0</v>
      </c>
      <c r="AA10" s="21">
        <f>'t1'!M8</f>
        <v>0</v>
      </c>
      <c r="AC10" s="234"/>
      <c r="AD10" s="235"/>
      <c r="AE10" s="234"/>
      <c r="AF10" s="235"/>
      <c r="AG10" s="234"/>
      <c r="AH10" s="235"/>
      <c r="AI10" s="234"/>
      <c r="AJ10" s="235"/>
      <c r="AK10" s="234"/>
      <c r="AL10" s="235"/>
      <c r="AM10" s="234"/>
      <c r="AN10" s="235"/>
      <c r="AO10" s="234"/>
      <c r="AP10" s="235"/>
      <c r="AQ10" s="234"/>
      <c r="AR10" s="523"/>
      <c r="AS10" s="234"/>
      <c r="AT10" s="523"/>
      <c r="AU10" s="234"/>
      <c r="AV10" s="523"/>
      <c r="AW10" s="234"/>
      <c r="AX10" s="519"/>
      <c r="AY10" s="442">
        <f t="shared" si="13"/>
        <v>0</v>
      </c>
      <c r="AZ10" s="443">
        <f t="shared" si="14"/>
        <v>0</v>
      </c>
      <c r="BA10" s="21">
        <f>'t1'!AR8</f>
        <v>0</v>
      </c>
    </row>
    <row r="11" spans="1:55" ht="12.95" customHeight="1" x14ac:dyDescent="0.2">
      <c r="A11" s="129" t="str">
        <f>'t1'!A9</f>
        <v>DIRIGENTI</v>
      </c>
      <c r="B11" s="195" t="str">
        <f>'t1'!B9</f>
        <v>0D0164</v>
      </c>
      <c r="C11" s="766">
        <f t="shared" si="8"/>
        <v>1377</v>
      </c>
      <c r="D11" s="767">
        <f t="shared" si="8"/>
        <v>903</v>
      </c>
      <c r="E11" s="766">
        <f t="shared" si="8"/>
        <v>50</v>
      </c>
      <c r="F11" s="767">
        <f t="shared" si="8"/>
        <v>132</v>
      </c>
      <c r="G11" s="766">
        <f t="shared" si="1"/>
        <v>17</v>
      </c>
      <c r="H11" s="767">
        <f t="shared" si="2"/>
        <v>7</v>
      </c>
      <c r="I11" s="766">
        <f t="shared" si="9"/>
        <v>23</v>
      </c>
      <c r="J11" s="767">
        <f t="shared" si="9"/>
        <v>0</v>
      </c>
      <c r="K11" s="766">
        <f t="shared" si="9"/>
        <v>61</v>
      </c>
      <c r="L11" s="767">
        <f t="shared" si="9"/>
        <v>13</v>
      </c>
      <c r="M11" s="766">
        <f t="shared" si="9"/>
        <v>0</v>
      </c>
      <c r="N11" s="767">
        <f t="shared" si="9"/>
        <v>8</v>
      </c>
      <c r="O11" s="766">
        <f t="shared" si="10"/>
        <v>106</v>
      </c>
      <c r="P11" s="767">
        <f t="shared" si="10"/>
        <v>267</v>
      </c>
      <c r="Q11" s="766">
        <f t="shared" si="4"/>
        <v>0</v>
      </c>
      <c r="R11" s="768">
        <f t="shared" si="4"/>
        <v>0</v>
      </c>
      <c r="S11" s="766">
        <f t="shared" si="4"/>
        <v>923</v>
      </c>
      <c r="T11" s="768">
        <f t="shared" si="4"/>
        <v>253</v>
      </c>
      <c r="U11" s="766">
        <f t="shared" si="5"/>
        <v>0</v>
      </c>
      <c r="V11" s="768">
        <f t="shared" si="6"/>
        <v>0</v>
      </c>
      <c r="W11" s="766">
        <f t="shared" si="7"/>
        <v>21</v>
      </c>
      <c r="X11" s="769">
        <f t="shared" si="7"/>
        <v>34</v>
      </c>
      <c r="Y11" s="442">
        <f t="shared" si="11"/>
        <v>2561</v>
      </c>
      <c r="Z11" s="443">
        <f t="shared" si="12"/>
        <v>1610</v>
      </c>
      <c r="AA11" s="21">
        <f>'t1'!M9</f>
        <v>112</v>
      </c>
      <c r="AC11" s="234">
        <v>1377</v>
      </c>
      <c r="AD11" s="235">
        <v>903</v>
      </c>
      <c r="AE11" s="234">
        <v>50</v>
      </c>
      <c r="AF11" s="235">
        <v>132</v>
      </c>
      <c r="AG11" s="234">
        <v>17</v>
      </c>
      <c r="AH11" s="235">
        <v>7</v>
      </c>
      <c r="AI11" s="234">
        <v>23</v>
      </c>
      <c r="AJ11" s="235">
        <v>0</v>
      </c>
      <c r="AK11" s="234">
        <v>61</v>
      </c>
      <c r="AL11" s="235">
        <v>13</v>
      </c>
      <c r="AM11" s="234">
        <v>0</v>
      </c>
      <c r="AN11" s="235">
        <v>8</v>
      </c>
      <c r="AO11" s="234">
        <v>106</v>
      </c>
      <c r="AP11" s="235">
        <v>267</v>
      </c>
      <c r="AQ11" s="234">
        <v>0</v>
      </c>
      <c r="AR11" s="523">
        <v>0</v>
      </c>
      <c r="AS11" s="234">
        <v>923</v>
      </c>
      <c r="AT11" s="523">
        <v>253</v>
      </c>
      <c r="AU11" s="234">
        <v>0</v>
      </c>
      <c r="AV11" s="523"/>
      <c r="AW11" s="234">
        <v>21</v>
      </c>
      <c r="AX11" s="519">
        <v>34</v>
      </c>
      <c r="AY11" s="442">
        <f t="shared" si="13"/>
        <v>2578</v>
      </c>
      <c r="AZ11" s="443">
        <f t="shared" si="14"/>
        <v>1617</v>
      </c>
      <c r="BA11" s="21">
        <f>'t1'!AR9</f>
        <v>0</v>
      </c>
    </row>
    <row r="12" spans="1:55" ht="12.95" customHeight="1" x14ac:dyDescent="0.2">
      <c r="A12" s="129" t="str">
        <f>'t1'!A10</f>
        <v>POSIZIONE ECONOMICA D</v>
      </c>
      <c r="B12" s="195" t="str">
        <f>'t1'!B10</f>
        <v>047000</v>
      </c>
      <c r="C12" s="766">
        <f t="shared" ref="C12:C27" si="15">ROUND(AC12,0)</f>
        <v>4084</v>
      </c>
      <c r="D12" s="767">
        <f t="shared" ref="D12:D27" si="16">ROUND(AD12,0)</f>
        <v>8567</v>
      </c>
      <c r="E12" s="766">
        <f t="shared" ref="E12:E27" si="17">ROUND(AE12,0)</f>
        <v>282</v>
      </c>
      <c r="F12" s="767">
        <f t="shared" ref="F12:F27" si="18">ROUND(AF12,0)</f>
        <v>1327</v>
      </c>
      <c r="G12" s="766">
        <f t="shared" si="1"/>
        <v>11</v>
      </c>
      <c r="H12" s="767">
        <f t="shared" si="2"/>
        <v>172</v>
      </c>
      <c r="I12" s="766">
        <f t="shared" ref="I12:I27" si="19">ROUND(AI12,0)</f>
        <v>0</v>
      </c>
      <c r="J12" s="767">
        <f t="shared" ref="J12:J27" si="20">ROUND(AJ12,0)</f>
        <v>114</v>
      </c>
      <c r="K12" s="766">
        <f t="shared" ref="K12:K27" si="21">ROUND(AK12,0)</f>
        <v>88</v>
      </c>
      <c r="L12" s="767">
        <f t="shared" ref="L12:L27" si="22">ROUND(AL12,0)</f>
        <v>659</v>
      </c>
      <c r="M12" s="766">
        <f t="shared" ref="M12:M27" si="23">ROUND(AM12,0)</f>
        <v>86</v>
      </c>
      <c r="N12" s="767">
        <f t="shared" ref="N12:N27" si="24">ROUND(AN12,0)</f>
        <v>1818</v>
      </c>
      <c r="O12" s="766">
        <f t="shared" ref="O12:O27" si="25">ROUND(AO12,0)</f>
        <v>954</v>
      </c>
      <c r="P12" s="767">
        <f t="shared" ref="P12:P27" si="26">ROUND(AP12,0)</f>
        <v>1526</v>
      </c>
      <c r="Q12" s="766">
        <f t="shared" ref="Q12:Q27" si="27">ROUND(AQ12,0)</f>
        <v>10</v>
      </c>
      <c r="R12" s="768">
        <f t="shared" ref="R12:R27" si="28">ROUND(AR12,0)</f>
        <v>14</v>
      </c>
      <c r="S12" s="766">
        <f t="shared" ref="S12:S27" si="29">ROUND(AS12,0)</f>
        <v>2145</v>
      </c>
      <c r="T12" s="768">
        <f t="shared" ref="T12:T27" si="30">ROUND(AT12,0)</f>
        <v>1344</v>
      </c>
      <c r="U12" s="766">
        <f t="shared" si="5"/>
        <v>0</v>
      </c>
      <c r="V12" s="768">
        <f t="shared" si="6"/>
        <v>0</v>
      </c>
      <c r="W12" s="766">
        <f t="shared" ref="W12:W27" si="31">ROUND(AW12,0)</f>
        <v>2181</v>
      </c>
      <c r="X12" s="769">
        <f t="shared" ref="X12:X27" si="32">ROUND(AX12,0)</f>
        <v>5042</v>
      </c>
      <c r="Y12" s="442">
        <f t="shared" si="11"/>
        <v>9830</v>
      </c>
      <c r="Z12" s="443">
        <f t="shared" si="12"/>
        <v>20411</v>
      </c>
      <c r="AA12" s="21">
        <f>'t1'!M10</f>
        <v>460</v>
      </c>
      <c r="AC12" s="234">
        <v>4084</v>
      </c>
      <c r="AD12" s="235">
        <v>8567</v>
      </c>
      <c r="AE12" s="234">
        <v>282</v>
      </c>
      <c r="AF12" s="235">
        <v>1327</v>
      </c>
      <c r="AG12" s="234">
        <v>11</v>
      </c>
      <c r="AH12" s="235">
        <v>172</v>
      </c>
      <c r="AI12" s="234">
        <v>0</v>
      </c>
      <c r="AJ12" s="235">
        <v>114</v>
      </c>
      <c r="AK12" s="234">
        <v>88</v>
      </c>
      <c r="AL12" s="235">
        <v>659</v>
      </c>
      <c r="AM12" s="234">
        <v>86</v>
      </c>
      <c r="AN12" s="235">
        <v>1818</v>
      </c>
      <c r="AO12" s="234">
        <v>954</v>
      </c>
      <c r="AP12" s="235">
        <v>1526</v>
      </c>
      <c r="AQ12" s="234">
        <v>10</v>
      </c>
      <c r="AR12" s="523">
        <v>14</v>
      </c>
      <c r="AS12" s="234">
        <v>2145</v>
      </c>
      <c r="AT12" s="523">
        <v>1344</v>
      </c>
      <c r="AU12" s="234">
        <v>0</v>
      </c>
      <c r="AV12" s="523">
        <v>0</v>
      </c>
      <c r="AW12" s="234">
        <v>2181</v>
      </c>
      <c r="AX12" s="519">
        <v>5042</v>
      </c>
      <c r="AY12" s="442">
        <f t="shared" si="13"/>
        <v>9841</v>
      </c>
      <c r="AZ12" s="443">
        <f t="shared" si="14"/>
        <v>20583</v>
      </c>
      <c r="BA12" s="21">
        <f>'t1'!AR10</f>
        <v>0</v>
      </c>
    </row>
    <row r="13" spans="1:55" ht="12.95" customHeight="1" x14ac:dyDescent="0.2">
      <c r="A13" s="129" t="str">
        <f>'t1'!A11</f>
        <v>POSIZIONE ECONOMICA D - FORESTALE</v>
      </c>
      <c r="B13" s="195" t="str">
        <f>'t1'!B11</f>
        <v>047FOR</v>
      </c>
      <c r="C13" s="766">
        <f t="shared" si="15"/>
        <v>0</v>
      </c>
      <c r="D13" s="767">
        <f t="shared" si="16"/>
        <v>0</v>
      </c>
      <c r="E13" s="766">
        <f t="shared" si="17"/>
        <v>0</v>
      </c>
      <c r="F13" s="767">
        <f t="shared" si="18"/>
        <v>0</v>
      </c>
      <c r="G13" s="766">
        <f t="shared" si="1"/>
        <v>0</v>
      </c>
      <c r="H13" s="767">
        <f t="shared" si="2"/>
        <v>0</v>
      </c>
      <c r="I13" s="766">
        <f t="shared" si="19"/>
        <v>0</v>
      </c>
      <c r="J13" s="767">
        <f t="shared" si="20"/>
        <v>0</v>
      </c>
      <c r="K13" s="766">
        <f t="shared" si="21"/>
        <v>0</v>
      </c>
      <c r="L13" s="767">
        <f t="shared" si="22"/>
        <v>0</v>
      </c>
      <c r="M13" s="766">
        <f t="shared" si="23"/>
        <v>0</v>
      </c>
      <c r="N13" s="767">
        <f t="shared" si="24"/>
        <v>0</v>
      </c>
      <c r="O13" s="766">
        <f t="shared" si="25"/>
        <v>0</v>
      </c>
      <c r="P13" s="767">
        <f t="shared" si="26"/>
        <v>0</v>
      </c>
      <c r="Q13" s="766">
        <f t="shared" si="27"/>
        <v>0</v>
      </c>
      <c r="R13" s="768">
        <f t="shared" si="28"/>
        <v>0</v>
      </c>
      <c r="S13" s="766">
        <f t="shared" si="29"/>
        <v>0</v>
      </c>
      <c r="T13" s="768">
        <f t="shared" si="30"/>
        <v>0</v>
      </c>
      <c r="U13" s="766">
        <f t="shared" si="5"/>
        <v>0</v>
      </c>
      <c r="V13" s="768">
        <f t="shared" si="6"/>
        <v>0</v>
      </c>
      <c r="W13" s="766">
        <f t="shared" si="31"/>
        <v>0</v>
      </c>
      <c r="X13" s="769">
        <f t="shared" si="32"/>
        <v>0</v>
      </c>
      <c r="Y13" s="442">
        <f t="shared" si="11"/>
        <v>0</v>
      </c>
      <c r="Z13" s="443">
        <f t="shared" si="12"/>
        <v>0</v>
      </c>
      <c r="AA13" s="21">
        <f>'t1'!M11</f>
        <v>0</v>
      </c>
      <c r="AC13" s="234"/>
      <c r="AD13" s="235"/>
      <c r="AE13" s="234"/>
      <c r="AF13" s="235"/>
      <c r="AG13" s="234"/>
      <c r="AH13" s="235"/>
      <c r="AI13" s="234"/>
      <c r="AJ13" s="235"/>
      <c r="AK13" s="234"/>
      <c r="AL13" s="235"/>
      <c r="AM13" s="234"/>
      <c r="AN13" s="235"/>
      <c r="AO13" s="234"/>
      <c r="AP13" s="235"/>
      <c r="AQ13" s="234"/>
      <c r="AR13" s="523"/>
      <c r="AS13" s="234"/>
      <c r="AT13" s="523"/>
      <c r="AU13" s="234"/>
      <c r="AV13" s="523"/>
      <c r="AW13" s="234"/>
      <c r="AX13" s="519"/>
      <c r="AY13" s="442">
        <f t="shared" si="13"/>
        <v>0</v>
      </c>
      <c r="AZ13" s="443">
        <f t="shared" si="14"/>
        <v>0</v>
      </c>
      <c r="BA13" s="21">
        <f>'t1'!AR11</f>
        <v>0</v>
      </c>
    </row>
    <row r="14" spans="1:55" ht="12.95" customHeight="1" x14ac:dyDescent="0.2">
      <c r="A14" s="129" t="str">
        <f>'t1'!A12</f>
        <v>POSIZIONE ECONOMICA D  ISPETTORE ANTINCENDI DIRETTORE-VVFF</v>
      </c>
      <c r="B14" s="195" t="str">
        <f>'t1'!B12</f>
        <v>047IS3</v>
      </c>
      <c r="C14" s="766">
        <f t="shared" si="15"/>
        <v>0</v>
      </c>
      <c r="D14" s="767">
        <f t="shared" si="16"/>
        <v>0</v>
      </c>
      <c r="E14" s="766">
        <f t="shared" si="17"/>
        <v>0</v>
      </c>
      <c r="F14" s="767">
        <f t="shared" si="18"/>
        <v>0</v>
      </c>
      <c r="G14" s="766">
        <f t="shared" si="1"/>
        <v>0</v>
      </c>
      <c r="H14" s="767">
        <f t="shared" si="2"/>
        <v>0</v>
      </c>
      <c r="I14" s="766">
        <f t="shared" si="19"/>
        <v>0</v>
      </c>
      <c r="J14" s="767">
        <f t="shared" si="20"/>
        <v>0</v>
      </c>
      <c r="K14" s="766">
        <f t="shared" si="21"/>
        <v>0</v>
      </c>
      <c r="L14" s="767">
        <f t="shared" si="22"/>
        <v>0</v>
      </c>
      <c r="M14" s="766">
        <f t="shared" si="23"/>
        <v>0</v>
      </c>
      <c r="N14" s="767">
        <f t="shared" si="24"/>
        <v>0</v>
      </c>
      <c r="O14" s="766">
        <f t="shared" si="25"/>
        <v>0</v>
      </c>
      <c r="P14" s="767">
        <f t="shared" si="26"/>
        <v>0</v>
      </c>
      <c r="Q14" s="766">
        <f t="shared" si="27"/>
        <v>0</v>
      </c>
      <c r="R14" s="768">
        <f t="shared" si="28"/>
        <v>0</v>
      </c>
      <c r="S14" s="766">
        <f t="shared" si="29"/>
        <v>0</v>
      </c>
      <c r="T14" s="768">
        <f t="shared" si="30"/>
        <v>0</v>
      </c>
      <c r="U14" s="766">
        <f t="shared" si="5"/>
        <v>0</v>
      </c>
      <c r="V14" s="768">
        <f t="shared" si="6"/>
        <v>0</v>
      </c>
      <c r="W14" s="766">
        <f t="shared" si="31"/>
        <v>0</v>
      </c>
      <c r="X14" s="769">
        <f t="shared" si="32"/>
        <v>0</v>
      </c>
      <c r="Y14" s="442">
        <f t="shared" si="11"/>
        <v>0</v>
      </c>
      <c r="Z14" s="443">
        <f t="shared" si="12"/>
        <v>0</v>
      </c>
      <c r="AA14" s="21">
        <f>'t1'!M12</f>
        <v>0</v>
      </c>
      <c r="AC14" s="234"/>
      <c r="AD14" s="235"/>
      <c r="AE14" s="234"/>
      <c r="AF14" s="235"/>
      <c r="AG14" s="234"/>
      <c r="AH14" s="235"/>
      <c r="AI14" s="234"/>
      <c r="AJ14" s="235"/>
      <c r="AK14" s="234"/>
      <c r="AL14" s="235"/>
      <c r="AM14" s="234"/>
      <c r="AN14" s="235"/>
      <c r="AO14" s="234"/>
      <c r="AP14" s="235"/>
      <c r="AQ14" s="234"/>
      <c r="AR14" s="523"/>
      <c r="AS14" s="234"/>
      <c r="AT14" s="523"/>
      <c r="AU14" s="234"/>
      <c r="AV14" s="523"/>
      <c r="AW14" s="234"/>
      <c r="AX14" s="519"/>
      <c r="AY14" s="442">
        <f t="shared" si="13"/>
        <v>0</v>
      </c>
      <c r="AZ14" s="443">
        <f t="shared" si="14"/>
        <v>0</v>
      </c>
      <c r="BA14" s="21">
        <f>'t1'!AR12</f>
        <v>0</v>
      </c>
    </row>
    <row r="15" spans="1:55" ht="12.95" customHeight="1" x14ac:dyDescent="0.2">
      <c r="A15" s="129" t="str">
        <f>'t1'!A13</f>
        <v>POSIZIONE ECONOMICA D  ISPETTORE ANTINCENDI  VVFF</v>
      </c>
      <c r="B15" s="195" t="str">
        <f>'t1'!B13</f>
        <v>047IS2</v>
      </c>
      <c r="C15" s="766">
        <f t="shared" si="15"/>
        <v>124</v>
      </c>
      <c r="D15" s="767">
        <f t="shared" si="16"/>
        <v>0</v>
      </c>
      <c r="E15" s="766">
        <f t="shared" si="17"/>
        <v>14</v>
      </c>
      <c r="F15" s="767">
        <f t="shared" si="18"/>
        <v>0</v>
      </c>
      <c r="G15" s="766">
        <f t="shared" si="1"/>
        <v>6</v>
      </c>
      <c r="H15" s="767">
        <f t="shared" si="2"/>
        <v>0</v>
      </c>
      <c r="I15" s="766">
        <f t="shared" si="19"/>
        <v>0</v>
      </c>
      <c r="J15" s="767">
        <f t="shared" si="20"/>
        <v>0</v>
      </c>
      <c r="K15" s="766">
        <f t="shared" si="21"/>
        <v>0</v>
      </c>
      <c r="L15" s="767">
        <f t="shared" si="22"/>
        <v>0</v>
      </c>
      <c r="M15" s="766">
        <f t="shared" si="23"/>
        <v>0</v>
      </c>
      <c r="N15" s="767">
        <f t="shared" si="24"/>
        <v>0</v>
      </c>
      <c r="O15" s="766">
        <f t="shared" si="25"/>
        <v>42</v>
      </c>
      <c r="P15" s="767">
        <f t="shared" si="26"/>
        <v>0</v>
      </c>
      <c r="Q15" s="766">
        <f t="shared" si="27"/>
        <v>0</v>
      </c>
      <c r="R15" s="768">
        <f t="shared" si="28"/>
        <v>0</v>
      </c>
      <c r="S15" s="766">
        <f t="shared" si="29"/>
        <v>0</v>
      </c>
      <c r="T15" s="768">
        <f t="shared" si="30"/>
        <v>0</v>
      </c>
      <c r="U15" s="766">
        <f t="shared" si="5"/>
        <v>0</v>
      </c>
      <c r="V15" s="768">
        <f t="shared" si="6"/>
        <v>0</v>
      </c>
      <c r="W15" s="766">
        <f t="shared" si="31"/>
        <v>0</v>
      </c>
      <c r="X15" s="769">
        <f t="shared" si="32"/>
        <v>0</v>
      </c>
      <c r="Y15" s="442">
        <f t="shared" si="11"/>
        <v>180</v>
      </c>
      <c r="Z15" s="443">
        <f t="shared" si="12"/>
        <v>0</v>
      </c>
      <c r="AA15" s="21">
        <f>'t1'!M13</f>
        <v>5</v>
      </c>
      <c r="AC15" s="234">
        <v>124</v>
      </c>
      <c r="AD15" s="235">
        <v>0</v>
      </c>
      <c r="AE15" s="234">
        <v>14</v>
      </c>
      <c r="AF15" s="235">
        <v>0</v>
      </c>
      <c r="AG15" s="234">
        <v>6</v>
      </c>
      <c r="AH15" s="235">
        <v>0</v>
      </c>
      <c r="AI15" s="234">
        <v>0</v>
      </c>
      <c r="AJ15" s="235">
        <v>0</v>
      </c>
      <c r="AK15" s="234">
        <v>0</v>
      </c>
      <c r="AL15" s="235">
        <v>0</v>
      </c>
      <c r="AM15" s="234">
        <v>0</v>
      </c>
      <c r="AN15" s="235">
        <v>0</v>
      </c>
      <c r="AO15" s="234">
        <v>42</v>
      </c>
      <c r="AP15" s="235">
        <v>0</v>
      </c>
      <c r="AQ15" s="234">
        <v>0</v>
      </c>
      <c r="AR15" s="523">
        <v>0</v>
      </c>
      <c r="AS15" s="234">
        <v>0</v>
      </c>
      <c r="AT15" s="523">
        <v>0</v>
      </c>
      <c r="AU15" s="234">
        <v>0</v>
      </c>
      <c r="AV15" s="523">
        <v>0</v>
      </c>
      <c r="AW15" s="234">
        <v>0</v>
      </c>
      <c r="AX15" s="519">
        <v>0</v>
      </c>
      <c r="AY15" s="442">
        <f t="shared" si="13"/>
        <v>186</v>
      </c>
      <c r="AZ15" s="443">
        <f t="shared" si="14"/>
        <v>0</v>
      </c>
      <c r="BA15" s="21">
        <f>'t1'!AR13</f>
        <v>0</v>
      </c>
    </row>
    <row r="16" spans="1:55" ht="12.95" customHeight="1" x14ac:dyDescent="0.2">
      <c r="A16" s="129" t="str">
        <f>'t1'!A14</f>
        <v>POSIZIONE ECONOMICA C2</v>
      </c>
      <c r="B16" s="195" t="str">
        <f>'t1'!B14</f>
        <v>042000</v>
      </c>
      <c r="C16" s="766">
        <f t="shared" si="15"/>
        <v>7599</v>
      </c>
      <c r="D16" s="767">
        <f t="shared" si="16"/>
        <v>12845</v>
      </c>
      <c r="E16" s="766">
        <f t="shared" si="17"/>
        <v>1019</v>
      </c>
      <c r="F16" s="767">
        <f t="shared" si="18"/>
        <v>1825</v>
      </c>
      <c r="G16" s="766">
        <f t="shared" si="1"/>
        <v>261</v>
      </c>
      <c r="H16" s="767">
        <f t="shared" si="2"/>
        <v>156</v>
      </c>
      <c r="I16" s="766">
        <f t="shared" si="19"/>
        <v>10</v>
      </c>
      <c r="J16" s="767">
        <f t="shared" si="20"/>
        <v>278</v>
      </c>
      <c r="K16" s="766">
        <f t="shared" si="21"/>
        <v>345</v>
      </c>
      <c r="L16" s="767">
        <f t="shared" si="22"/>
        <v>883</v>
      </c>
      <c r="M16" s="766">
        <f t="shared" si="23"/>
        <v>166</v>
      </c>
      <c r="N16" s="767">
        <f t="shared" si="24"/>
        <v>1815</v>
      </c>
      <c r="O16" s="766">
        <f t="shared" si="25"/>
        <v>1445</v>
      </c>
      <c r="P16" s="767">
        <f t="shared" si="26"/>
        <v>2404</v>
      </c>
      <c r="Q16" s="766">
        <f t="shared" si="27"/>
        <v>23</v>
      </c>
      <c r="R16" s="768">
        <f t="shared" si="28"/>
        <v>34</v>
      </c>
      <c r="S16" s="766">
        <f t="shared" si="29"/>
        <v>865</v>
      </c>
      <c r="T16" s="768">
        <f t="shared" si="30"/>
        <v>1049</v>
      </c>
      <c r="U16" s="766">
        <f t="shared" si="5"/>
        <v>0</v>
      </c>
      <c r="V16" s="768">
        <f t="shared" si="6"/>
        <v>0</v>
      </c>
      <c r="W16" s="766">
        <f t="shared" si="31"/>
        <v>3418</v>
      </c>
      <c r="X16" s="769">
        <f t="shared" si="32"/>
        <v>8259</v>
      </c>
      <c r="Y16" s="442">
        <f t="shared" si="11"/>
        <v>14890</v>
      </c>
      <c r="Z16" s="443">
        <f t="shared" si="12"/>
        <v>29392</v>
      </c>
      <c r="AA16" s="21">
        <f>'t1'!M14</f>
        <v>766</v>
      </c>
      <c r="AC16" s="234">
        <v>7599</v>
      </c>
      <c r="AD16" s="235">
        <v>12845</v>
      </c>
      <c r="AE16" s="234">
        <v>1019</v>
      </c>
      <c r="AF16" s="235">
        <v>1825</v>
      </c>
      <c r="AG16" s="234">
        <v>261</v>
      </c>
      <c r="AH16" s="235">
        <v>156</v>
      </c>
      <c r="AI16" s="234">
        <v>10</v>
      </c>
      <c r="AJ16" s="235">
        <v>278</v>
      </c>
      <c r="AK16" s="234">
        <v>345</v>
      </c>
      <c r="AL16" s="235">
        <v>883</v>
      </c>
      <c r="AM16" s="234">
        <v>166</v>
      </c>
      <c r="AN16" s="235">
        <v>1815</v>
      </c>
      <c r="AO16" s="234">
        <v>1445</v>
      </c>
      <c r="AP16" s="235">
        <v>2404</v>
      </c>
      <c r="AQ16" s="234">
        <v>23</v>
      </c>
      <c r="AR16" s="523">
        <v>34</v>
      </c>
      <c r="AS16" s="234">
        <v>865</v>
      </c>
      <c r="AT16" s="523">
        <v>1049</v>
      </c>
      <c r="AU16" s="234">
        <v>0</v>
      </c>
      <c r="AV16" s="523">
        <v>0</v>
      </c>
      <c r="AW16" s="234">
        <v>3418</v>
      </c>
      <c r="AX16" s="519">
        <v>8259</v>
      </c>
      <c r="AY16" s="442">
        <f t="shared" si="13"/>
        <v>15151</v>
      </c>
      <c r="AZ16" s="443">
        <f t="shared" si="14"/>
        <v>29548</v>
      </c>
      <c r="BA16" s="21">
        <f>'t1'!AR14</f>
        <v>0</v>
      </c>
    </row>
    <row r="17" spans="1:53" ht="12.95" customHeight="1" x14ac:dyDescent="0.2">
      <c r="A17" s="129" t="str">
        <f>'t1'!A15</f>
        <v>POSIZIONE ECONOMICA C1</v>
      </c>
      <c r="B17" s="195" t="str">
        <f>'t1'!B15</f>
        <v>040000</v>
      </c>
      <c r="C17" s="766">
        <f t="shared" si="15"/>
        <v>405</v>
      </c>
      <c r="D17" s="767">
        <f t="shared" si="16"/>
        <v>412</v>
      </c>
      <c r="E17" s="766">
        <f t="shared" si="17"/>
        <v>21</v>
      </c>
      <c r="F17" s="767">
        <f t="shared" si="18"/>
        <v>213</v>
      </c>
      <c r="G17" s="766">
        <f t="shared" si="1"/>
        <v>0</v>
      </c>
      <c r="H17" s="767">
        <f t="shared" si="2"/>
        <v>13</v>
      </c>
      <c r="I17" s="766">
        <f t="shared" si="19"/>
        <v>0</v>
      </c>
      <c r="J17" s="767">
        <f t="shared" si="20"/>
        <v>34</v>
      </c>
      <c r="K17" s="766">
        <f t="shared" si="21"/>
        <v>52</v>
      </c>
      <c r="L17" s="767">
        <f t="shared" si="22"/>
        <v>53</v>
      </c>
      <c r="M17" s="766">
        <f t="shared" si="23"/>
        <v>0</v>
      </c>
      <c r="N17" s="767">
        <f t="shared" si="24"/>
        <v>2</v>
      </c>
      <c r="O17" s="766">
        <f t="shared" si="25"/>
        <v>35</v>
      </c>
      <c r="P17" s="767">
        <f t="shared" si="26"/>
        <v>60</v>
      </c>
      <c r="Q17" s="766">
        <f t="shared" si="27"/>
        <v>1</v>
      </c>
      <c r="R17" s="768">
        <f t="shared" si="28"/>
        <v>1</v>
      </c>
      <c r="S17" s="766">
        <f t="shared" si="29"/>
        <v>0</v>
      </c>
      <c r="T17" s="768">
        <f t="shared" si="30"/>
        <v>0</v>
      </c>
      <c r="U17" s="766">
        <f t="shared" si="5"/>
        <v>0</v>
      </c>
      <c r="V17" s="768">
        <f t="shared" si="6"/>
        <v>0</v>
      </c>
      <c r="W17" s="766">
        <f t="shared" si="31"/>
        <v>95</v>
      </c>
      <c r="X17" s="769">
        <f t="shared" si="32"/>
        <v>369</v>
      </c>
      <c r="Y17" s="442">
        <f t="shared" si="11"/>
        <v>609</v>
      </c>
      <c r="Z17" s="443">
        <f t="shared" si="12"/>
        <v>1144</v>
      </c>
      <c r="AA17" s="21">
        <f>'t1'!M15</f>
        <v>25</v>
      </c>
      <c r="AC17" s="234">
        <v>405</v>
      </c>
      <c r="AD17" s="235">
        <v>412</v>
      </c>
      <c r="AE17" s="234">
        <v>21</v>
      </c>
      <c r="AF17" s="235">
        <v>213</v>
      </c>
      <c r="AG17" s="234">
        <v>0</v>
      </c>
      <c r="AH17" s="235">
        <v>13</v>
      </c>
      <c r="AI17" s="234">
        <v>0</v>
      </c>
      <c r="AJ17" s="235">
        <v>34</v>
      </c>
      <c r="AK17" s="234">
        <v>52</v>
      </c>
      <c r="AL17" s="235">
        <v>53</v>
      </c>
      <c r="AM17" s="234">
        <v>0</v>
      </c>
      <c r="AN17" s="235">
        <v>2</v>
      </c>
      <c r="AO17" s="234">
        <v>35</v>
      </c>
      <c r="AP17" s="235">
        <v>60</v>
      </c>
      <c r="AQ17" s="234">
        <v>1</v>
      </c>
      <c r="AR17" s="523">
        <v>1</v>
      </c>
      <c r="AS17" s="234">
        <v>0</v>
      </c>
      <c r="AT17" s="523">
        <v>0</v>
      </c>
      <c r="AU17" s="234">
        <v>0</v>
      </c>
      <c r="AV17" s="523">
        <v>0</v>
      </c>
      <c r="AW17" s="234">
        <v>95</v>
      </c>
      <c r="AX17" s="519">
        <v>369</v>
      </c>
      <c r="AY17" s="442">
        <f t="shared" si="13"/>
        <v>609</v>
      </c>
      <c r="AZ17" s="443">
        <f t="shared" si="14"/>
        <v>1157</v>
      </c>
      <c r="BA17" s="21">
        <f>'t1'!AR15</f>
        <v>0</v>
      </c>
    </row>
    <row r="18" spans="1:53" ht="12.95" customHeight="1" x14ac:dyDescent="0.2">
      <c r="A18" s="129" t="str">
        <f>'t1'!A16</f>
        <v>ISPETTORE FORESTALE C21F</v>
      </c>
      <c r="B18" s="195" t="str">
        <f>'t1'!B16</f>
        <v>042324</v>
      </c>
      <c r="C18" s="766">
        <f t="shared" si="15"/>
        <v>303</v>
      </c>
      <c r="D18" s="767">
        <f t="shared" si="16"/>
        <v>71</v>
      </c>
      <c r="E18" s="766">
        <f t="shared" si="17"/>
        <v>81</v>
      </c>
      <c r="F18" s="767">
        <f t="shared" si="18"/>
        <v>7</v>
      </c>
      <c r="G18" s="766">
        <f t="shared" si="1"/>
        <v>22</v>
      </c>
      <c r="H18" s="767">
        <f t="shared" si="2"/>
        <v>0</v>
      </c>
      <c r="I18" s="766">
        <f t="shared" si="19"/>
        <v>0</v>
      </c>
      <c r="J18" s="767">
        <f t="shared" si="20"/>
        <v>0</v>
      </c>
      <c r="K18" s="766">
        <f t="shared" si="21"/>
        <v>0</v>
      </c>
      <c r="L18" s="767">
        <f t="shared" si="22"/>
        <v>0</v>
      </c>
      <c r="M18" s="766">
        <f t="shared" si="23"/>
        <v>0</v>
      </c>
      <c r="N18" s="767">
        <f t="shared" si="24"/>
        <v>0</v>
      </c>
      <c r="O18" s="766">
        <f t="shared" si="25"/>
        <v>27</v>
      </c>
      <c r="P18" s="767">
        <f t="shared" si="26"/>
        <v>7</v>
      </c>
      <c r="Q18" s="766">
        <f t="shared" si="27"/>
        <v>0</v>
      </c>
      <c r="R18" s="768">
        <f t="shared" si="28"/>
        <v>0</v>
      </c>
      <c r="S18" s="766">
        <f t="shared" si="29"/>
        <v>254</v>
      </c>
      <c r="T18" s="768">
        <f t="shared" si="30"/>
        <v>0</v>
      </c>
      <c r="U18" s="766">
        <f t="shared" si="5"/>
        <v>0</v>
      </c>
      <c r="V18" s="768">
        <f t="shared" si="6"/>
        <v>0</v>
      </c>
      <c r="W18" s="766">
        <f t="shared" si="31"/>
        <v>8</v>
      </c>
      <c r="X18" s="769">
        <f t="shared" si="32"/>
        <v>0</v>
      </c>
      <c r="Y18" s="442">
        <f t="shared" si="11"/>
        <v>673</v>
      </c>
      <c r="Z18" s="443">
        <f t="shared" si="12"/>
        <v>85</v>
      </c>
      <c r="AA18" s="21">
        <f>'t1'!M16</f>
        <v>19</v>
      </c>
      <c r="AC18" s="234">
        <v>303</v>
      </c>
      <c r="AD18" s="235">
        <v>71</v>
      </c>
      <c r="AE18" s="234">
        <v>81</v>
      </c>
      <c r="AF18" s="235">
        <v>7</v>
      </c>
      <c r="AG18" s="234">
        <v>22</v>
      </c>
      <c r="AH18" s="235">
        <v>0</v>
      </c>
      <c r="AI18" s="234">
        <v>0</v>
      </c>
      <c r="AJ18" s="235">
        <v>0</v>
      </c>
      <c r="AK18" s="234">
        <v>0</v>
      </c>
      <c r="AL18" s="235">
        <v>0</v>
      </c>
      <c r="AM18" s="234">
        <v>0</v>
      </c>
      <c r="AN18" s="235">
        <v>0</v>
      </c>
      <c r="AO18" s="234">
        <v>27</v>
      </c>
      <c r="AP18" s="235">
        <v>7</v>
      </c>
      <c r="AQ18" s="234">
        <v>0</v>
      </c>
      <c r="AR18" s="523">
        <v>0</v>
      </c>
      <c r="AS18" s="234">
        <v>254</v>
      </c>
      <c r="AT18" s="523">
        <v>0</v>
      </c>
      <c r="AU18" s="234">
        <v>0</v>
      </c>
      <c r="AV18" s="523">
        <v>0</v>
      </c>
      <c r="AW18" s="234">
        <v>8</v>
      </c>
      <c r="AX18" s="519">
        <v>0</v>
      </c>
      <c r="AY18" s="442">
        <f t="shared" si="13"/>
        <v>695</v>
      </c>
      <c r="AZ18" s="443">
        <f t="shared" si="14"/>
        <v>85</v>
      </c>
      <c r="BA18" s="21">
        <f>'t1'!AR16</f>
        <v>0</v>
      </c>
    </row>
    <row r="19" spans="1:53" ht="12.95" customHeight="1" x14ac:dyDescent="0.2">
      <c r="A19" s="129" t="str">
        <f>'t1'!A17</f>
        <v>SOVRAINTENDENTE C1F</v>
      </c>
      <c r="B19" s="195" t="str">
        <f>'t1'!B17</f>
        <v>040211</v>
      </c>
      <c r="C19" s="766">
        <f t="shared" si="15"/>
        <v>407</v>
      </c>
      <c r="D19" s="767">
        <f t="shared" si="16"/>
        <v>172</v>
      </c>
      <c r="E19" s="766">
        <f t="shared" si="17"/>
        <v>79</v>
      </c>
      <c r="F19" s="767">
        <f t="shared" si="18"/>
        <v>11</v>
      </c>
      <c r="G19" s="766">
        <f t="shared" si="1"/>
        <v>2</v>
      </c>
      <c r="H19" s="767">
        <f t="shared" si="2"/>
        <v>0</v>
      </c>
      <c r="I19" s="766">
        <f t="shared" si="19"/>
        <v>0</v>
      </c>
      <c r="J19" s="767">
        <f t="shared" si="20"/>
        <v>0</v>
      </c>
      <c r="K19" s="766">
        <f t="shared" si="21"/>
        <v>14</v>
      </c>
      <c r="L19" s="767">
        <f t="shared" si="22"/>
        <v>4</v>
      </c>
      <c r="M19" s="766">
        <f t="shared" si="23"/>
        <v>20</v>
      </c>
      <c r="N19" s="767">
        <f t="shared" si="24"/>
        <v>0</v>
      </c>
      <c r="O19" s="766">
        <f t="shared" si="25"/>
        <v>157</v>
      </c>
      <c r="P19" s="767">
        <f t="shared" si="26"/>
        <v>25</v>
      </c>
      <c r="Q19" s="766">
        <f t="shared" si="27"/>
        <v>0</v>
      </c>
      <c r="R19" s="768">
        <f t="shared" si="28"/>
        <v>1</v>
      </c>
      <c r="S19" s="766">
        <f t="shared" si="29"/>
        <v>0</v>
      </c>
      <c r="T19" s="768">
        <f t="shared" si="30"/>
        <v>10</v>
      </c>
      <c r="U19" s="766">
        <f t="shared" si="5"/>
        <v>0</v>
      </c>
      <c r="V19" s="768">
        <f t="shared" si="6"/>
        <v>0</v>
      </c>
      <c r="W19" s="766">
        <f t="shared" si="31"/>
        <v>0</v>
      </c>
      <c r="X19" s="769">
        <f t="shared" si="32"/>
        <v>0</v>
      </c>
      <c r="Y19" s="442">
        <f t="shared" si="11"/>
        <v>677</v>
      </c>
      <c r="Z19" s="443">
        <f t="shared" si="12"/>
        <v>223</v>
      </c>
      <c r="AA19" s="21">
        <f>'t1'!M17</f>
        <v>27</v>
      </c>
      <c r="AC19" s="234">
        <v>407</v>
      </c>
      <c r="AD19" s="235">
        <v>172</v>
      </c>
      <c r="AE19" s="234">
        <v>79</v>
      </c>
      <c r="AF19" s="235">
        <v>11</v>
      </c>
      <c r="AG19" s="234">
        <v>2</v>
      </c>
      <c r="AH19" s="235">
        <v>0</v>
      </c>
      <c r="AI19" s="234">
        <v>0</v>
      </c>
      <c r="AJ19" s="235">
        <v>0</v>
      </c>
      <c r="AK19" s="234">
        <v>14</v>
      </c>
      <c r="AL19" s="235">
        <v>4</v>
      </c>
      <c r="AM19" s="234">
        <v>20</v>
      </c>
      <c r="AN19" s="235">
        <v>0</v>
      </c>
      <c r="AO19" s="234">
        <v>157</v>
      </c>
      <c r="AP19" s="235">
        <v>25</v>
      </c>
      <c r="AQ19" s="234">
        <v>0</v>
      </c>
      <c r="AR19" s="523">
        <v>1</v>
      </c>
      <c r="AS19" s="234">
        <v>0</v>
      </c>
      <c r="AT19" s="523">
        <v>10</v>
      </c>
      <c r="AU19" s="234">
        <v>0</v>
      </c>
      <c r="AV19" s="523">
        <v>0</v>
      </c>
      <c r="AW19" s="234">
        <v>0</v>
      </c>
      <c r="AX19" s="519">
        <v>0</v>
      </c>
      <c r="AY19" s="442">
        <f t="shared" si="13"/>
        <v>679</v>
      </c>
      <c r="AZ19" s="443">
        <f t="shared" si="14"/>
        <v>223</v>
      </c>
      <c r="BA19" s="21">
        <f>'t1'!AR17</f>
        <v>0</v>
      </c>
    </row>
    <row r="20" spans="1:53" ht="12.95" customHeight="1" x14ac:dyDescent="0.2">
      <c r="A20" s="129" t="str">
        <f>'t1'!A18</f>
        <v>POSIZIONE ECONOMICA C2  CAPO REPARTO  VVFF</v>
      </c>
      <c r="B20" s="195" t="str">
        <f>'t1'!B18</f>
        <v>042CR1</v>
      </c>
      <c r="C20" s="766">
        <f t="shared" si="15"/>
        <v>291</v>
      </c>
      <c r="D20" s="767">
        <f t="shared" si="16"/>
        <v>0</v>
      </c>
      <c r="E20" s="766">
        <f t="shared" si="17"/>
        <v>9</v>
      </c>
      <c r="F20" s="767">
        <f t="shared" si="18"/>
        <v>0</v>
      </c>
      <c r="G20" s="766">
        <f t="shared" si="1"/>
        <v>0</v>
      </c>
      <c r="H20" s="767">
        <f t="shared" si="2"/>
        <v>0</v>
      </c>
      <c r="I20" s="766">
        <f t="shared" si="19"/>
        <v>0</v>
      </c>
      <c r="J20" s="767">
        <f t="shared" si="20"/>
        <v>0</v>
      </c>
      <c r="K20" s="766">
        <f t="shared" si="21"/>
        <v>60</v>
      </c>
      <c r="L20" s="767">
        <f t="shared" si="22"/>
        <v>0</v>
      </c>
      <c r="M20" s="766">
        <f t="shared" si="23"/>
        <v>0</v>
      </c>
      <c r="N20" s="767">
        <f t="shared" si="24"/>
        <v>0</v>
      </c>
      <c r="O20" s="766">
        <f t="shared" si="25"/>
        <v>30</v>
      </c>
      <c r="P20" s="767">
        <f t="shared" si="26"/>
        <v>0</v>
      </c>
      <c r="Q20" s="766">
        <f t="shared" si="27"/>
        <v>0</v>
      </c>
      <c r="R20" s="768">
        <f t="shared" si="28"/>
        <v>0</v>
      </c>
      <c r="S20" s="766">
        <f t="shared" si="29"/>
        <v>0</v>
      </c>
      <c r="T20" s="768">
        <f t="shared" si="30"/>
        <v>0</v>
      </c>
      <c r="U20" s="766">
        <f t="shared" si="5"/>
        <v>0</v>
      </c>
      <c r="V20" s="768">
        <f t="shared" si="6"/>
        <v>0</v>
      </c>
      <c r="W20" s="766">
        <f t="shared" si="31"/>
        <v>0</v>
      </c>
      <c r="X20" s="769">
        <f t="shared" si="32"/>
        <v>0</v>
      </c>
      <c r="Y20" s="442">
        <f t="shared" si="11"/>
        <v>390</v>
      </c>
      <c r="Z20" s="443">
        <f t="shared" si="12"/>
        <v>0</v>
      </c>
      <c r="AA20" s="21">
        <f>'t1'!M18</f>
        <v>11</v>
      </c>
      <c r="AC20" s="234">
        <v>291</v>
      </c>
      <c r="AD20" s="235">
        <v>0</v>
      </c>
      <c r="AE20" s="234">
        <v>9</v>
      </c>
      <c r="AF20" s="235">
        <v>0</v>
      </c>
      <c r="AG20" s="234">
        <v>0</v>
      </c>
      <c r="AH20" s="235">
        <v>0</v>
      </c>
      <c r="AI20" s="234">
        <v>0</v>
      </c>
      <c r="AJ20" s="235">
        <v>0</v>
      </c>
      <c r="AK20" s="234">
        <v>60</v>
      </c>
      <c r="AL20" s="235">
        <v>0</v>
      </c>
      <c r="AM20" s="234">
        <v>0</v>
      </c>
      <c r="AN20" s="235">
        <v>0</v>
      </c>
      <c r="AO20" s="234">
        <v>30</v>
      </c>
      <c r="AP20" s="235">
        <v>0</v>
      </c>
      <c r="AQ20" s="234">
        <v>0</v>
      </c>
      <c r="AR20" s="523">
        <v>0</v>
      </c>
      <c r="AS20" s="234">
        <v>0</v>
      </c>
      <c r="AT20" s="523">
        <v>0</v>
      </c>
      <c r="AU20" s="234">
        <v>0</v>
      </c>
      <c r="AV20" s="523">
        <v>0</v>
      </c>
      <c r="AW20" s="234">
        <v>0</v>
      </c>
      <c r="AX20" s="519">
        <v>0</v>
      </c>
      <c r="AY20" s="442">
        <f t="shared" si="13"/>
        <v>390</v>
      </c>
      <c r="AZ20" s="443">
        <f t="shared" si="14"/>
        <v>0</v>
      </c>
      <c r="BA20" s="21">
        <f>'t1'!AR18</f>
        <v>0</v>
      </c>
    </row>
    <row r="21" spans="1:53" ht="12.95" customHeight="1" x14ac:dyDescent="0.2">
      <c r="A21" s="129" t="str">
        <f>'t1'!A19</f>
        <v>POSIZIONE ECONOMICA C2  COLLAB. TECNICO ANTINCENDI  VVFF</v>
      </c>
      <c r="B21" s="195" t="str">
        <f>'t1'!B19</f>
        <v>042CA0</v>
      </c>
      <c r="C21" s="766">
        <f t="shared" si="15"/>
        <v>196</v>
      </c>
      <c r="D21" s="767">
        <f t="shared" si="16"/>
        <v>0</v>
      </c>
      <c r="E21" s="766">
        <f t="shared" si="17"/>
        <v>16</v>
      </c>
      <c r="F21" s="767">
        <f t="shared" si="18"/>
        <v>0</v>
      </c>
      <c r="G21" s="766">
        <f t="shared" si="1"/>
        <v>0</v>
      </c>
      <c r="H21" s="767">
        <f t="shared" si="2"/>
        <v>0</v>
      </c>
      <c r="I21" s="766">
        <f t="shared" si="19"/>
        <v>0</v>
      </c>
      <c r="J21" s="767">
        <f t="shared" si="20"/>
        <v>0</v>
      </c>
      <c r="K21" s="766">
        <f t="shared" si="21"/>
        <v>5</v>
      </c>
      <c r="L21" s="767">
        <f t="shared" si="22"/>
        <v>0</v>
      </c>
      <c r="M21" s="766">
        <f t="shared" si="23"/>
        <v>0</v>
      </c>
      <c r="N21" s="767">
        <f t="shared" si="24"/>
        <v>0</v>
      </c>
      <c r="O21" s="766">
        <f t="shared" si="25"/>
        <v>83</v>
      </c>
      <c r="P21" s="767">
        <f t="shared" si="26"/>
        <v>0</v>
      </c>
      <c r="Q21" s="766">
        <f t="shared" si="27"/>
        <v>0</v>
      </c>
      <c r="R21" s="768">
        <f t="shared" si="28"/>
        <v>0</v>
      </c>
      <c r="S21" s="766">
        <f t="shared" si="29"/>
        <v>0</v>
      </c>
      <c r="T21" s="768">
        <f t="shared" si="30"/>
        <v>0</v>
      </c>
      <c r="U21" s="766">
        <f t="shared" si="5"/>
        <v>0</v>
      </c>
      <c r="V21" s="768">
        <f t="shared" si="6"/>
        <v>0</v>
      </c>
      <c r="W21" s="766">
        <f t="shared" si="31"/>
        <v>0</v>
      </c>
      <c r="X21" s="769">
        <f t="shared" si="32"/>
        <v>0</v>
      </c>
      <c r="Y21" s="442">
        <f t="shared" si="11"/>
        <v>300</v>
      </c>
      <c r="Z21" s="443">
        <f t="shared" si="12"/>
        <v>0</v>
      </c>
      <c r="AA21" s="21">
        <f>'t1'!M19</f>
        <v>8</v>
      </c>
      <c r="AC21" s="234">
        <v>196</v>
      </c>
      <c r="AD21" s="235">
        <v>0</v>
      </c>
      <c r="AE21" s="234">
        <v>16</v>
      </c>
      <c r="AF21" s="235">
        <v>0</v>
      </c>
      <c r="AG21" s="234">
        <v>0</v>
      </c>
      <c r="AH21" s="235">
        <v>0</v>
      </c>
      <c r="AI21" s="234">
        <v>0</v>
      </c>
      <c r="AJ21" s="235">
        <v>0</v>
      </c>
      <c r="AK21" s="234">
        <v>5</v>
      </c>
      <c r="AL21" s="235">
        <v>0</v>
      </c>
      <c r="AM21" s="234">
        <v>0</v>
      </c>
      <c r="AN21" s="235">
        <v>0</v>
      </c>
      <c r="AO21" s="234">
        <v>83</v>
      </c>
      <c r="AP21" s="235">
        <v>0</v>
      </c>
      <c r="AQ21" s="234">
        <v>0</v>
      </c>
      <c r="AR21" s="523">
        <v>0</v>
      </c>
      <c r="AS21" s="234">
        <v>0</v>
      </c>
      <c r="AT21" s="523">
        <v>0</v>
      </c>
      <c r="AU21" s="234">
        <v>0</v>
      </c>
      <c r="AV21" s="523">
        <v>0</v>
      </c>
      <c r="AW21" s="234">
        <v>0</v>
      </c>
      <c r="AX21" s="519">
        <v>0</v>
      </c>
      <c r="AY21" s="442">
        <f t="shared" si="13"/>
        <v>300</v>
      </c>
      <c r="AZ21" s="443">
        <f t="shared" si="14"/>
        <v>0</v>
      </c>
      <c r="BA21" s="21">
        <f>'t1'!AR19</f>
        <v>0</v>
      </c>
    </row>
    <row r="22" spans="1:53" ht="12.95" customHeight="1" x14ac:dyDescent="0.2">
      <c r="A22" s="129" t="str">
        <f>'t1'!A20</f>
        <v>POSIZIONE ECONOMICA C1  CAPO SQUADRA  VVFF</v>
      </c>
      <c r="B22" s="195" t="str">
        <f>'t1'!B20</f>
        <v>040CS1</v>
      </c>
      <c r="C22" s="766">
        <f t="shared" si="15"/>
        <v>592</v>
      </c>
      <c r="D22" s="767">
        <f t="shared" si="16"/>
        <v>0</v>
      </c>
      <c r="E22" s="766">
        <f t="shared" si="17"/>
        <v>71</v>
      </c>
      <c r="F22" s="767">
        <f t="shared" si="18"/>
        <v>0</v>
      </c>
      <c r="G22" s="766">
        <f t="shared" si="1"/>
        <v>18</v>
      </c>
      <c r="H22" s="767">
        <f t="shared" si="2"/>
        <v>0</v>
      </c>
      <c r="I22" s="766">
        <f t="shared" si="19"/>
        <v>0</v>
      </c>
      <c r="J22" s="767">
        <f t="shared" si="20"/>
        <v>0</v>
      </c>
      <c r="K22" s="766">
        <f t="shared" si="21"/>
        <v>63</v>
      </c>
      <c r="L22" s="767">
        <f t="shared" si="22"/>
        <v>0</v>
      </c>
      <c r="M22" s="766">
        <f t="shared" si="23"/>
        <v>10</v>
      </c>
      <c r="N22" s="767">
        <f t="shared" si="24"/>
        <v>0</v>
      </c>
      <c r="O22" s="766">
        <f t="shared" si="25"/>
        <v>41</v>
      </c>
      <c r="P22" s="767">
        <f t="shared" si="26"/>
        <v>0</v>
      </c>
      <c r="Q22" s="766">
        <f t="shared" si="27"/>
        <v>0</v>
      </c>
      <c r="R22" s="768">
        <f t="shared" si="28"/>
        <v>0</v>
      </c>
      <c r="S22" s="766">
        <f t="shared" si="29"/>
        <v>272</v>
      </c>
      <c r="T22" s="768">
        <f t="shared" si="30"/>
        <v>0</v>
      </c>
      <c r="U22" s="766">
        <f t="shared" si="5"/>
        <v>0</v>
      </c>
      <c r="V22" s="768">
        <f t="shared" si="6"/>
        <v>0</v>
      </c>
      <c r="W22" s="766">
        <f t="shared" si="31"/>
        <v>0</v>
      </c>
      <c r="X22" s="769">
        <f t="shared" si="32"/>
        <v>0</v>
      </c>
      <c r="Y22" s="442">
        <f t="shared" si="11"/>
        <v>1049</v>
      </c>
      <c r="Z22" s="443">
        <f t="shared" si="12"/>
        <v>0</v>
      </c>
      <c r="AA22" s="21">
        <f>'t1'!M20</f>
        <v>31</v>
      </c>
      <c r="AC22" s="234">
        <v>592</v>
      </c>
      <c r="AD22" s="235">
        <v>0</v>
      </c>
      <c r="AE22" s="234">
        <v>71</v>
      </c>
      <c r="AF22" s="235">
        <v>0</v>
      </c>
      <c r="AG22" s="234">
        <v>18</v>
      </c>
      <c r="AH22" s="235">
        <v>0</v>
      </c>
      <c r="AI22" s="234">
        <v>0</v>
      </c>
      <c r="AJ22" s="235">
        <v>0</v>
      </c>
      <c r="AK22" s="234">
        <v>63</v>
      </c>
      <c r="AL22" s="235">
        <v>0</v>
      </c>
      <c r="AM22" s="234">
        <v>10</v>
      </c>
      <c r="AN22" s="235">
        <v>0</v>
      </c>
      <c r="AO22" s="234">
        <v>41</v>
      </c>
      <c r="AP22" s="235">
        <v>0</v>
      </c>
      <c r="AQ22" s="234">
        <v>0</v>
      </c>
      <c r="AR22" s="523">
        <v>0</v>
      </c>
      <c r="AS22" s="234">
        <v>272</v>
      </c>
      <c r="AT22" s="523">
        <v>0</v>
      </c>
      <c r="AU22" s="234">
        <v>0</v>
      </c>
      <c r="AV22" s="523">
        <v>0</v>
      </c>
      <c r="AW22" s="234">
        <v>0</v>
      </c>
      <c r="AX22" s="519">
        <v>0</v>
      </c>
      <c r="AY22" s="442">
        <f t="shared" si="13"/>
        <v>1067</v>
      </c>
      <c r="AZ22" s="443">
        <f t="shared" si="14"/>
        <v>0</v>
      </c>
      <c r="BA22" s="21">
        <f>'t1'!AR20</f>
        <v>0</v>
      </c>
    </row>
    <row r="23" spans="1:53" ht="12.95" customHeight="1" x14ac:dyDescent="0.2">
      <c r="A23" s="129" t="str">
        <f>'t1'!A21</f>
        <v>POSIZIONE ECONOMICA B3</v>
      </c>
      <c r="B23" s="195" t="str">
        <f>'t1'!B21</f>
        <v>034000</v>
      </c>
      <c r="C23" s="766">
        <f t="shared" si="15"/>
        <v>258</v>
      </c>
      <c r="D23" s="767">
        <f t="shared" si="16"/>
        <v>116</v>
      </c>
      <c r="E23" s="766">
        <f t="shared" si="17"/>
        <v>24</v>
      </c>
      <c r="F23" s="767">
        <f t="shared" si="18"/>
        <v>76</v>
      </c>
      <c r="G23" s="766">
        <f t="shared" si="1"/>
        <v>0</v>
      </c>
      <c r="H23" s="767">
        <f t="shared" si="2"/>
        <v>0</v>
      </c>
      <c r="I23" s="766">
        <f t="shared" si="19"/>
        <v>0</v>
      </c>
      <c r="J23" s="767">
        <f t="shared" si="20"/>
        <v>0</v>
      </c>
      <c r="K23" s="766">
        <f t="shared" si="21"/>
        <v>12</v>
      </c>
      <c r="L23" s="767">
        <f t="shared" si="22"/>
        <v>0</v>
      </c>
      <c r="M23" s="766">
        <f t="shared" si="23"/>
        <v>0</v>
      </c>
      <c r="N23" s="767">
        <f t="shared" si="24"/>
        <v>0</v>
      </c>
      <c r="O23" s="766">
        <f t="shared" si="25"/>
        <v>52</v>
      </c>
      <c r="P23" s="767">
        <f t="shared" si="26"/>
        <v>16</v>
      </c>
      <c r="Q23" s="766">
        <f t="shared" si="27"/>
        <v>0</v>
      </c>
      <c r="R23" s="768">
        <f t="shared" si="28"/>
        <v>1</v>
      </c>
      <c r="S23" s="766">
        <f t="shared" si="29"/>
        <v>0</v>
      </c>
      <c r="T23" s="768">
        <f t="shared" si="30"/>
        <v>0</v>
      </c>
      <c r="U23" s="766">
        <f t="shared" si="5"/>
        <v>0</v>
      </c>
      <c r="V23" s="768">
        <f t="shared" si="6"/>
        <v>0</v>
      </c>
      <c r="W23" s="766">
        <f t="shared" si="31"/>
        <v>0</v>
      </c>
      <c r="X23" s="769">
        <f t="shared" si="32"/>
        <v>0</v>
      </c>
      <c r="Y23" s="442">
        <f t="shared" si="11"/>
        <v>346</v>
      </c>
      <c r="Z23" s="443">
        <f t="shared" si="12"/>
        <v>209</v>
      </c>
      <c r="AA23" s="21">
        <f>'t1'!M21</f>
        <v>13</v>
      </c>
      <c r="AC23" s="234">
        <v>258</v>
      </c>
      <c r="AD23" s="235">
        <v>116</v>
      </c>
      <c r="AE23" s="234">
        <v>24</v>
      </c>
      <c r="AF23" s="235">
        <v>76</v>
      </c>
      <c r="AG23" s="234">
        <v>0</v>
      </c>
      <c r="AH23" s="235">
        <v>0</v>
      </c>
      <c r="AI23" s="234">
        <v>0</v>
      </c>
      <c r="AJ23" s="235">
        <v>0</v>
      </c>
      <c r="AK23" s="234">
        <v>12</v>
      </c>
      <c r="AL23" s="235">
        <v>0</v>
      </c>
      <c r="AM23" s="234">
        <v>0</v>
      </c>
      <c r="AN23" s="235">
        <v>0</v>
      </c>
      <c r="AO23" s="234">
        <v>52</v>
      </c>
      <c r="AP23" s="235">
        <v>16</v>
      </c>
      <c r="AQ23" s="234">
        <v>0</v>
      </c>
      <c r="AR23" s="523">
        <v>1</v>
      </c>
      <c r="AS23" s="234">
        <v>0</v>
      </c>
      <c r="AT23" s="523">
        <v>0</v>
      </c>
      <c r="AU23" s="234">
        <v>0</v>
      </c>
      <c r="AV23" s="523">
        <v>0</v>
      </c>
      <c r="AW23" s="234">
        <v>0</v>
      </c>
      <c r="AX23" s="519">
        <v>0</v>
      </c>
      <c r="AY23" s="442">
        <f t="shared" si="13"/>
        <v>346</v>
      </c>
      <c r="AZ23" s="443">
        <f t="shared" si="14"/>
        <v>209</v>
      </c>
      <c r="BA23" s="21">
        <f>'t1'!AR21</f>
        <v>0</v>
      </c>
    </row>
    <row r="24" spans="1:53" ht="12.95" customHeight="1" x14ac:dyDescent="0.2">
      <c r="A24" s="129" t="str">
        <f>'t1'!A22</f>
        <v>POSIZIONE ECONOMICA B2S</v>
      </c>
      <c r="B24" s="195" t="str">
        <f>'t1'!B22</f>
        <v>033000</v>
      </c>
      <c r="C24" s="766">
        <f t="shared" si="15"/>
        <v>0</v>
      </c>
      <c r="D24" s="767">
        <f t="shared" si="16"/>
        <v>125</v>
      </c>
      <c r="E24" s="766">
        <f t="shared" si="17"/>
        <v>0</v>
      </c>
      <c r="F24" s="767">
        <f t="shared" si="18"/>
        <v>101</v>
      </c>
      <c r="G24" s="766">
        <f t="shared" si="1"/>
        <v>0</v>
      </c>
      <c r="H24" s="767">
        <f t="shared" si="2"/>
        <v>0</v>
      </c>
      <c r="I24" s="766">
        <f t="shared" si="19"/>
        <v>0</v>
      </c>
      <c r="J24" s="767">
        <f t="shared" si="20"/>
        <v>0</v>
      </c>
      <c r="K24" s="766">
        <f t="shared" si="21"/>
        <v>0</v>
      </c>
      <c r="L24" s="767">
        <f t="shared" si="22"/>
        <v>0</v>
      </c>
      <c r="M24" s="766">
        <f t="shared" si="23"/>
        <v>0</v>
      </c>
      <c r="N24" s="767">
        <f t="shared" si="24"/>
        <v>0</v>
      </c>
      <c r="O24" s="766">
        <f t="shared" si="25"/>
        <v>0</v>
      </c>
      <c r="P24" s="767">
        <f t="shared" si="26"/>
        <v>21</v>
      </c>
      <c r="Q24" s="766">
        <f t="shared" si="27"/>
        <v>0</v>
      </c>
      <c r="R24" s="768">
        <f t="shared" si="28"/>
        <v>0</v>
      </c>
      <c r="S24" s="766">
        <f t="shared" si="29"/>
        <v>0</v>
      </c>
      <c r="T24" s="768">
        <f t="shared" si="30"/>
        <v>0</v>
      </c>
      <c r="U24" s="766">
        <f t="shared" si="5"/>
        <v>0</v>
      </c>
      <c r="V24" s="768">
        <f t="shared" si="6"/>
        <v>0</v>
      </c>
      <c r="W24" s="766">
        <f t="shared" si="31"/>
        <v>0</v>
      </c>
      <c r="X24" s="769">
        <f t="shared" si="32"/>
        <v>1</v>
      </c>
      <c r="Y24" s="442">
        <f t="shared" si="11"/>
        <v>0</v>
      </c>
      <c r="Z24" s="443">
        <f t="shared" si="12"/>
        <v>248</v>
      </c>
      <c r="AA24" s="21">
        <f>'t1'!M22</f>
        <v>5</v>
      </c>
      <c r="AC24" s="234">
        <v>0</v>
      </c>
      <c r="AD24" s="235">
        <v>125</v>
      </c>
      <c r="AE24" s="234">
        <v>0</v>
      </c>
      <c r="AF24" s="235">
        <v>101</v>
      </c>
      <c r="AG24" s="234">
        <v>0</v>
      </c>
      <c r="AH24" s="235">
        <v>0</v>
      </c>
      <c r="AI24" s="234">
        <v>0</v>
      </c>
      <c r="AJ24" s="235">
        <v>0</v>
      </c>
      <c r="AK24" s="234">
        <v>0</v>
      </c>
      <c r="AL24" s="235">
        <v>0</v>
      </c>
      <c r="AM24" s="234">
        <v>0</v>
      </c>
      <c r="AN24" s="235">
        <v>0</v>
      </c>
      <c r="AO24" s="234">
        <v>0</v>
      </c>
      <c r="AP24" s="235">
        <v>21</v>
      </c>
      <c r="AQ24" s="234">
        <v>0</v>
      </c>
      <c r="AR24" s="523">
        <v>0</v>
      </c>
      <c r="AS24" s="234">
        <v>0</v>
      </c>
      <c r="AT24" s="523">
        <v>0</v>
      </c>
      <c r="AU24" s="234">
        <v>0</v>
      </c>
      <c r="AV24" s="523">
        <v>0</v>
      </c>
      <c r="AW24" s="234">
        <v>0</v>
      </c>
      <c r="AX24" s="519">
        <v>1</v>
      </c>
      <c r="AY24" s="442">
        <f t="shared" si="13"/>
        <v>0</v>
      </c>
      <c r="AZ24" s="443">
        <f t="shared" si="14"/>
        <v>248</v>
      </c>
      <c r="BA24" s="21">
        <f>'t1'!AR22</f>
        <v>0</v>
      </c>
    </row>
    <row r="25" spans="1:53" ht="12.95" customHeight="1" x14ac:dyDescent="0.2">
      <c r="A25" s="129" t="str">
        <f>'t1'!A23</f>
        <v>POSIZIONE ECONOMICA B2</v>
      </c>
      <c r="B25" s="195" t="str">
        <f>'t1'!B23</f>
        <v>032000</v>
      </c>
      <c r="C25" s="766">
        <f t="shared" si="15"/>
        <v>5737</v>
      </c>
      <c r="D25" s="767">
        <f t="shared" si="16"/>
        <v>10686</v>
      </c>
      <c r="E25" s="766">
        <f t="shared" si="17"/>
        <v>993</v>
      </c>
      <c r="F25" s="767">
        <f t="shared" si="18"/>
        <v>2428</v>
      </c>
      <c r="G25" s="766">
        <f t="shared" si="1"/>
        <v>150</v>
      </c>
      <c r="H25" s="767">
        <f t="shared" si="2"/>
        <v>166</v>
      </c>
      <c r="I25" s="766">
        <f t="shared" si="19"/>
        <v>292</v>
      </c>
      <c r="J25" s="767">
        <f t="shared" si="20"/>
        <v>753</v>
      </c>
      <c r="K25" s="766">
        <f t="shared" si="21"/>
        <v>461</v>
      </c>
      <c r="L25" s="767">
        <f t="shared" si="22"/>
        <v>1490</v>
      </c>
      <c r="M25" s="766">
        <f t="shared" si="23"/>
        <v>89</v>
      </c>
      <c r="N25" s="767">
        <f t="shared" si="24"/>
        <v>160</v>
      </c>
      <c r="O25" s="766">
        <f t="shared" si="25"/>
        <v>1091</v>
      </c>
      <c r="P25" s="767">
        <f t="shared" si="26"/>
        <v>2479</v>
      </c>
      <c r="Q25" s="766">
        <f t="shared" si="27"/>
        <v>11</v>
      </c>
      <c r="R25" s="768">
        <f t="shared" si="28"/>
        <v>29</v>
      </c>
      <c r="S25" s="766">
        <f t="shared" si="29"/>
        <v>151</v>
      </c>
      <c r="T25" s="768">
        <f t="shared" si="30"/>
        <v>104</v>
      </c>
      <c r="U25" s="766">
        <f t="shared" si="5"/>
        <v>0</v>
      </c>
      <c r="V25" s="768">
        <f t="shared" si="6"/>
        <v>0</v>
      </c>
      <c r="W25" s="766">
        <f t="shared" si="31"/>
        <v>860</v>
      </c>
      <c r="X25" s="769">
        <f t="shared" si="32"/>
        <v>5594</v>
      </c>
      <c r="Y25" s="442">
        <f t="shared" si="11"/>
        <v>9685</v>
      </c>
      <c r="Z25" s="443">
        <f t="shared" si="12"/>
        <v>23723</v>
      </c>
      <c r="AA25" s="21">
        <f>'t1'!M23</f>
        <v>516</v>
      </c>
      <c r="AC25" s="234">
        <v>5737</v>
      </c>
      <c r="AD25" s="235">
        <v>10686</v>
      </c>
      <c r="AE25" s="234">
        <v>993</v>
      </c>
      <c r="AF25" s="235">
        <v>2428</v>
      </c>
      <c r="AG25" s="234">
        <v>150</v>
      </c>
      <c r="AH25" s="235">
        <v>166</v>
      </c>
      <c r="AI25" s="234">
        <v>292</v>
      </c>
      <c r="AJ25" s="235">
        <v>753</v>
      </c>
      <c r="AK25" s="234">
        <v>461</v>
      </c>
      <c r="AL25" s="235">
        <v>1490</v>
      </c>
      <c r="AM25" s="234">
        <v>89</v>
      </c>
      <c r="AN25" s="235">
        <v>160</v>
      </c>
      <c r="AO25" s="234">
        <v>1091</v>
      </c>
      <c r="AP25" s="235">
        <v>2479</v>
      </c>
      <c r="AQ25" s="234">
        <v>11</v>
      </c>
      <c r="AR25" s="523">
        <v>29</v>
      </c>
      <c r="AS25" s="234">
        <v>151</v>
      </c>
      <c r="AT25" s="523">
        <v>104</v>
      </c>
      <c r="AU25" s="234">
        <v>0</v>
      </c>
      <c r="AV25" s="523">
        <v>0</v>
      </c>
      <c r="AW25" s="234">
        <v>860</v>
      </c>
      <c r="AX25" s="519">
        <v>5594</v>
      </c>
      <c r="AY25" s="442">
        <f t="shared" si="13"/>
        <v>9835</v>
      </c>
      <c r="AZ25" s="443">
        <f t="shared" si="14"/>
        <v>23889</v>
      </c>
      <c r="BA25" s="21">
        <f>'t1'!AR23</f>
        <v>0</v>
      </c>
    </row>
    <row r="26" spans="1:53" ht="12.95" customHeight="1" x14ac:dyDescent="0.2">
      <c r="A26" s="129" t="str">
        <f>'t1'!A24</f>
        <v>POSIZIONE ECONOMICA B1</v>
      </c>
      <c r="B26" s="195" t="str">
        <f>'t1'!B24</f>
        <v>030000</v>
      </c>
      <c r="C26" s="766">
        <f t="shared" si="15"/>
        <v>680</v>
      </c>
      <c r="D26" s="767">
        <f t="shared" si="16"/>
        <v>75</v>
      </c>
      <c r="E26" s="766">
        <f t="shared" si="17"/>
        <v>202</v>
      </c>
      <c r="F26" s="767">
        <f t="shared" si="18"/>
        <v>3</v>
      </c>
      <c r="G26" s="766">
        <f t="shared" si="1"/>
        <v>4</v>
      </c>
      <c r="H26" s="767">
        <f t="shared" si="2"/>
        <v>0</v>
      </c>
      <c r="I26" s="766">
        <f t="shared" si="19"/>
        <v>0</v>
      </c>
      <c r="J26" s="767">
        <f t="shared" si="20"/>
        <v>0</v>
      </c>
      <c r="K26" s="766">
        <f t="shared" si="21"/>
        <v>0</v>
      </c>
      <c r="L26" s="767">
        <f t="shared" si="22"/>
        <v>0</v>
      </c>
      <c r="M26" s="766">
        <f t="shared" si="23"/>
        <v>0</v>
      </c>
      <c r="N26" s="767">
        <f t="shared" si="24"/>
        <v>4</v>
      </c>
      <c r="O26" s="766">
        <f t="shared" si="25"/>
        <v>161</v>
      </c>
      <c r="P26" s="767">
        <f t="shared" si="26"/>
        <v>5</v>
      </c>
      <c r="Q26" s="766">
        <f t="shared" si="27"/>
        <v>0</v>
      </c>
      <c r="R26" s="768">
        <f t="shared" si="28"/>
        <v>0</v>
      </c>
      <c r="S26" s="766">
        <f t="shared" si="29"/>
        <v>0</v>
      </c>
      <c r="T26" s="768">
        <f t="shared" si="30"/>
        <v>0</v>
      </c>
      <c r="U26" s="766">
        <f t="shared" si="5"/>
        <v>0</v>
      </c>
      <c r="V26" s="768">
        <f t="shared" si="6"/>
        <v>0</v>
      </c>
      <c r="W26" s="766">
        <f t="shared" si="31"/>
        <v>0</v>
      </c>
      <c r="X26" s="769">
        <f t="shared" si="32"/>
        <v>31</v>
      </c>
      <c r="Y26" s="442">
        <f t="shared" si="11"/>
        <v>1043</v>
      </c>
      <c r="Z26" s="443">
        <f t="shared" si="12"/>
        <v>118</v>
      </c>
      <c r="AA26" s="21">
        <f>'t1'!M24</f>
        <v>23</v>
      </c>
      <c r="AC26" s="234">
        <v>680</v>
      </c>
      <c r="AD26" s="235">
        <v>75</v>
      </c>
      <c r="AE26" s="234">
        <v>202</v>
      </c>
      <c r="AF26" s="235">
        <v>3</v>
      </c>
      <c r="AG26" s="234">
        <v>4</v>
      </c>
      <c r="AH26" s="235">
        <v>0</v>
      </c>
      <c r="AI26" s="234">
        <v>0</v>
      </c>
      <c r="AJ26" s="235">
        <v>0</v>
      </c>
      <c r="AK26" s="234">
        <v>0</v>
      </c>
      <c r="AL26" s="235">
        <v>0</v>
      </c>
      <c r="AM26" s="234">
        <v>0</v>
      </c>
      <c r="AN26" s="235">
        <v>4</v>
      </c>
      <c r="AO26" s="234">
        <v>161</v>
      </c>
      <c r="AP26" s="235">
        <v>5</v>
      </c>
      <c r="AQ26" s="234">
        <v>0</v>
      </c>
      <c r="AR26" s="523">
        <v>0</v>
      </c>
      <c r="AS26" s="234">
        <v>0</v>
      </c>
      <c r="AT26" s="523">
        <v>0</v>
      </c>
      <c r="AU26" s="234">
        <v>0</v>
      </c>
      <c r="AV26" s="523">
        <v>0</v>
      </c>
      <c r="AW26" s="234">
        <v>0</v>
      </c>
      <c r="AX26" s="519">
        <v>31</v>
      </c>
      <c r="AY26" s="442">
        <f t="shared" si="13"/>
        <v>1047</v>
      </c>
      <c r="AZ26" s="443">
        <f t="shared" si="14"/>
        <v>118</v>
      </c>
      <c r="BA26" s="21">
        <f>'t1'!AR24</f>
        <v>0</v>
      </c>
    </row>
    <row r="27" spans="1:53" ht="12.95" customHeight="1" x14ac:dyDescent="0.2">
      <c r="A27" s="129" t="str">
        <f>'t1'!A25</f>
        <v>POS. EC. B3-GUARDIA  FORESTALE 5 A.</v>
      </c>
      <c r="B27" s="195" t="str">
        <f>'t1'!B25</f>
        <v>034561</v>
      </c>
      <c r="C27" s="766">
        <f t="shared" si="15"/>
        <v>793</v>
      </c>
      <c r="D27" s="767">
        <f t="shared" si="16"/>
        <v>343</v>
      </c>
      <c r="E27" s="766">
        <f t="shared" si="17"/>
        <v>90</v>
      </c>
      <c r="F27" s="767">
        <f t="shared" si="18"/>
        <v>99</v>
      </c>
      <c r="G27" s="766">
        <f t="shared" si="1"/>
        <v>16</v>
      </c>
      <c r="H27" s="767">
        <f t="shared" si="2"/>
        <v>1</v>
      </c>
      <c r="I27" s="766">
        <f t="shared" si="19"/>
        <v>0</v>
      </c>
      <c r="J27" s="767">
        <f t="shared" si="20"/>
        <v>52</v>
      </c>
      <c r="K27" s="766">
        <f t="shared" si="21"/>
        <v>31</v>
      </c>
      <c r="L27" s="767">
        <f t="shared" si="22"/>
        <v>35</v>
      </c>
      <c r="M27" s="766">
        <f t="shared" si="23"/>
        <v>4</v>
      </c>
      <c r="N27" s="767">
        <f t="shared" si="24"/>
        <v>20</v>
      </c>
      <c r="O27" s="766">
        <f t="shared" si="25"/>
        <v>114</v>
      </c>
      <c r="P27" s="767">
        <f t="shared" si="26"/>
        <v>16</v>
      </c>
      <c r="Q27" s="766">
        <f t="shared" si="27"/>
        <v>0</v>
      </c>
      <c r="R27" s="768">
        <f t="shared" si="28"/>
        <v>1</v>
      </c>
      <c r="S27" s="766">
        <f t="shared" si="29"/>
        <v>1</v>
      </c>
      <c r="T27" s="768">
        <f t="shared" si="30"/>
        <v>25</v>
      </c>
      <c r="U27" s="766">
        <f t="shared" si="5"/>
        <v>0</v>
      </c>
      <c r="V27" s="768">
        <f t="shared" si="6"/>
        <v>0</v>
      </c>
      <c r="W27" s="766">
        <f t="shared" si="31"/>
        <v>0</v>
      </c>
      <c r="X27" s="769">
        <f t="shared" si="32"/>
        <v>0</v>
      </c>
      <c r="Y27" s="442">
        <f t="shared" si="11"/>
        <v>1033</v>
      </c>
      <c r="Z27" s="443">
        <f t="shared" si="12"/>
        <v>591</v>
      </c>
      <c r="AA27" s="21">
        <f>'t1'!M25</f>
        <v>41</v>
      </c>
      <c r="AC27" s="234">
        <v>793</v>
      </c>
      <c r="AD27" s="235">
        <v>343</v>
      </c>
      <c r="AE27" s="234">
        <v>90</v>
      </c>
      <c r="AF27" s="235">
        <v>99</v>
      </c>
      <c r="AG27" s="234">
        <v>16</v>
      </c>
      <c r="AH27" s="235">
        <v>1</v>
      </c>
      <c r="AI27" s="234">
        <v>0</v>
      </c>
      <c r="AJ27" s="235">
        <v>52</v>
      </c>
      <c r="AK27" s="234">
        <v>31</v>
      </c>
      <c r="AL27" s="235">
        <v>35</v>
      </c>
      <c r="AM27" s="234">
        <v>4</v>
      </c>
      <c r="AN27" s="235">
        <v>20</v>
      </c>
      <c r="AO27" s="234">
        <v>114</v>
      </c>
      <c r="AP27" s="235">
        <v>16</v>
      </c>
      <c r="AQ27" s="234">
        <v>0</v>
      </c>
      <c r="AR27" s="523">
        <v>1</v>
      </c>
      <c r="AS27" s="234">
        <v>1</v>
      </c>
      <c r="AT27" s="523">
        <v>25</v>
      </c>
      <c r="AU27" s="234">
        <v>0</v>
      </c>
      <c r="AV27" s="523">
        <v>0</v>
      </c>
      <c r="AW27" s="234">
        <v>0</v>
      </c>
      <c r="AX27" s="519">
        <v>0</v>
      </c>
      <c r="AY27" s="442">
        <f t="shared" si="13"/>
        <v>1049</v>
      </c>
      <c r="AZ27" s="443">
        <f t="shared" si="14"/>
        <v>592</v>
      </c>
      <c r="BA27" s="21">
        <f>'t1'!AR25</f>
        <v>0</v>
      </c>
    </row>
    <row r="28" spans="1:53" ht="12.95" customHeight="1" x14ac:dyDescent="0.2">
      <c r="A28" s="129" t="str">
        <f>'t1'!A26</f>
        <v>POS. EC. B2-GUARDIA  FORESTALE</v>
      </c>
      <c r="B28" s="195" t="str">
        <f>'t1'!B26</f>
        <v>032561</v>
      </c>
      <c r="C28" s="766">
        <f t="shared" ref="C28:F35" si="33">ROUND(AC28,0)</f>
        <v>453</v>
      </c>
      <c r="D28" s="767">
        <f t="shared" si="33"/>
        <v>328</v>
      </c>
      <c r="E28" s="766">
        <f t="shared" si="33"/>
        <v>37</v>
      </c>
      <c r="F28" s="767">
        <f t="shared" si="33"/>
        <v>53</v>
      </c>
      <c r="G28" s="766">
        <f t="shared" si="1"/>
        <v>0</v>
      </c>
      <c r="H28" s="767">
        <f t="shared" si="2"/>
        <v>0</v>
      </c>
      <c r="I28" s="766">
        <f t="shared" ref="I28:I35" si="34">ROUND(AI28,0)</f>
        <v>0</v>
      </c>
      <c r="J28" s="767">
        <f t="shared" ref="J28:J35" si="35">ROUND(AJ28,0)</f>
        <v>0</v>
      </c>
      <c r="K28" s="766">
        <f t="shared" ref="K28:K35" si="36">ROUND(AK28,0)</f>
        <v>0</v>
      </c>
      <c r="L28" s="767">
        <f t="shared" ref="L28:L35" si="37">ROUND(AL28,0)</f>
        <v>34</v>
      </c>
      <c r="M28" s="766">
        <f t="shared" ref="M28:M35" si="38">ROUND(AM28,0)</f>
        <v>24</v>
      </c>
      <c r="N28" s="767">
        <f t="shared" ref="N28:N35" si="39">ROUND(AN28,0)</f>
        <v>159</v>
      </c>
      <c r="O28" s="766">
        <f t="shared" ref="O28:O35" si="40">ROUND(AO28,0)</f>
        <v>54</v>
      </c>
      <c r="P28" s="767">
        <f t="shared" ref="P28:P35" si="41">ROUND(AP28,0)</f>
        <v>37</v>
      </c>
      <c r="Q28" s="766">
        <f t="shared" ref="Q28:Q35" si="42">ROUND(AQ28,0)</f>
        <v>1</v>
      </c>
      <c r="R28" s="768">
        <f t="shared" ref="R28:R35" si="43">ROUND(AR28,0)</f>
        <v>0</v>
      </c>
      <c r="S28" s="766">
        <f t="shared" ref="S28:S35" si="44">ROUND(AS28,0)</f>
        <v>17</v>
      </c>
      <c r="T28" s="768">
        <f t="shared" ref="T28:T35" si="45">ROUND(AT28,0)</f>
        <v>0</v>
      </c>
      <c r="U28" s="766">
        <f t="shared" si="5"/>
        <v>0</v>
      </c>
      <c r="V28" s="768">
        <f t="shared" si="6"/>
        <v>0</v>
      </c>
      <c r="W28" s="766">
        <f t="shared" ref="W28:W35" si="46">ROUND(AW28,0)</f>
        <v>0</v>
      </c>
      <c r="X28" s="769">
        <f t="shared" ref="X28:X35" si="47">ROUND(AX28,0)</f>
        <v>4</v>
      </c>
      <c r="Y28" s="442">
        <f t="shared" si="11"/>
        <v>586</v>
      </c>
      <c r="Z28" s="443">
        <f t="shared" si="12"/>
        <v>615</v>
      </c>
      <c r="AA28" s="21">
        <f>'t1'!M26</f>
        <v>24</v>
      </c>
      <c r="AC28" s="234">
        <v>453</v>
      </c>
      <c r="AD28" s="235">
        <v>328</v>
      </c>
      <c r="AE28" s="234">
        <v>37</v>
      </c>
      <c r="AF28" s="235">
        <v>53</v>
      </c>
      <c r="AG28" s="234">
        <v>0</v>
      </c>
      <c r="AH28" s="235">
        <v>0</v>
      </c>
      <c r="AI28" s="234">
        <v>0</v>
      </c>
      <c r="AJ28" s="235">
        <v>0</v>
      </c>
      <c r="AK28" s="234">
        <v>0</v>
      </c>
      <c r="AL28" s="235">
        <v>34</v>
      </c>
      <c r="AM28" s="234">
        <v>24</v>
      </c>
      <c r="AN28" s="235">
        <v>159</v>
      </c>
      <c r="AO28" s="234">
        <v>54</v>
      </c>
      <c r="AP28" s="235">
        <v>37</v>
      </c>
      <c r="AQ28" s="234">
        <v>1</v>
      </c>
      <c r="AR28" s="523">
        <v>0</v>
      </c>
      <c r="AS28" s="234">
        <v>17</v>
      </c>
      <c r="AT28" s="523">
        <v>0</v>
      </c>
      <c r="AU28" s="234">
        <v>0</v>
      </c>
      <c r="AV28" s="523">
        <v>0</v>
      </c>
      <c r="AW28" s="234">
        <v>0</v>
      </c>
      <c r="AX28" s="519">
        <v>4</v>
      </c>
      <c r="AY28" s="442">
        <f t="shared" si="13"/>
        <v>586</v>
      </c>
      <c r="AZ28" s="443">
        <f t="shared" si="14"/>
        <v>615</v>
      </c>
      <c r="BA28" s="21">
        <f>'t1'!AR26</f>
        <v>0</v>
      </c>
    </row>
    <row r="29" spans="1:53" ht="12.95" customHeight="1" x14ac:dyDescent="0.2">
      <c r="A29" s="129" t="str">
        <f>'t1'!A27</f>
        <v>POSIZIONE ECONOMICA B1 - FORESTALE</v>
      </c>
      <c r="B29" s="195" t="str">
        <f>'t1'!B27</f>
        <v>030FOR</v>
      </c>
      <c r="C29" s="766">
        <f t="shared" si="33"/>
        <v>0</v>
      </c>
      <c r="D29" s="767">
        <f t="shared" si="33"/>
        <v>0</v>
      </c>
      <c r="E29" s="766">
        <f t="shared" si="33"/>
        <v>0</v>
      </c>
      <c r="F29" s="767">
        <f t="shared" si="33"/>
        <v>0</v>
      </c>
      <c r="G29" s="766">
        <f t="shared" si="1"/>
        <v>0</v>
      </c>
      <c r="H29" s="767">
        <f t="shared" si="2"/>
        <v>0</v>
      </c>
      <c r="I29" s="766">
        <f t="shared" si="34"/>
        <v>0</v>
      </c>
      <c r="J29" s="767">
        <f t="shared" si="35"/>
        <v>0</v>
      </c>
      <c r="K29" s="766">
        <f t="shared" si="36"/>
        <v>0</v>
      </c>
      <c r="L29" s="767">
        <f t="shared" si="37"/>
        <v>0</v>
      </c>
      <c r="M29" s="766">
        <f t="shared" si="38"/>
        <v>0</v>
      </c>
      <c r="N29" s="767">
        <f t="shared" si="39"/>
        <v>0</v>
      </c>
      <c r="O29" s="766">
        <f t="shared" si="40"/>
        <v>0</v>
      </c>
      <c r="P29" s="767">
        <f t="shared" si="41"/>
        <v>0</v>
      </c>
      <c r="Q29" s="766">
        <f t="shared" si="42"/>
        <v>0</v>
      </c>
      <c r="R29" s="768">
        <f t="shared" si="43"/>
        <v>0</v>
      </c>
      <c r="S29" s="766">
        <f t="shared" si="44"/>
        <v>0</v>
      </c>
      <c r="T29" s="768">
        <f t="shared" si="45"/>
        <v>0</v>
      </c>
      <c r="U29" s="766">
        <f t="shared" si="5"/>
        <v>0</v>
      </c>
      <c r="V29" s="768">
        <f t="shared" si="6"/>
        <v>0</v>
      </c>
      <c r="W29" s="766">
        <f t="shared" si="46"/>
        <v>0</v>
      </c>
      <c r="X29" s="769">
        <f t="shared" si="47"/>
        <v>0</v>
      </c>
      <c r="Y29" s="442">
        <f t="shared" si="11"/>
        <v>0</v>
      </c>
      <c r="Z29" s="443">
        <f t="shared" si="12"/>
        <v>0</v>
      </c>
      <c r="AA29" s="21">
        <f>'t1'!M27</f>
        <v>0</v>
      </c>
      <c r="AC29" s="234"/>
      <c r="AD29" s="235"/>
      <c r="AE29" s="234"/>
      <c r="AF29" s="235"/>
      <c r="AG29" s="234"/>
      <c r="AH29" s="235"/>
      <c r="AI29" s="234"/>
      <c r="AJ29" s="235"/>
      <c r="AK29" s="234"/>
      <c r="AL29" s="235"/>
      <c r="AM29" s="234"/>
      <c r="AN29" s="235"/>
      <c r="AO29" s="234"/>
      <c r="AP29" s="235"/>
      <c r="AQ29" s="234"/>
      <c r="AR29" s="523"/>
      <c r="AS29" s="234"/>
      <c r="AT29" s="523"/>
      <c r="AU29" s="234"/>
      <c r="AV29" s="523"/>
      <c r="AW29" s="234"/>
      <c r="AX29" s="519"/>
      <c r="AY29" s="442">
        <f t="shared" si="13"/>
        <v>0</v>
      </c>
      <c r="AZ29" s="443">
        <f t="shared" si="14"/>
        <v>0</v>
      </c>
      <c r="BA29" s="21">
        <f>'t1'!AR27</f>
        <v>0</v>
      </c>
    </row>
    <row r="30" spans="1:53" ht="12.95" customHeight="1" x14ac:dyDescent="0.2">
      <c r="A30" s="129" t="str">
        <f>'t1'!A28</f>
        <v>POSIZIONE ECONOMICA B3  VIGILE DEL FUOCO &gt; 5 ANNI</v>
      </c>
      <c r="B30" s="195" t="str">
        <f>'t1'!B28</f>
        <v>034VF5</v>
      </c>
      <c r="C30" s="766">
        <f t="shared" si="33"/>
        <v>1489</v>
      </c>
      <c r="D30" s="767">
        <f t="shared" si="33"/>
        <v>0</v>
      </c>
      <c r="E30" s="766">
        <f t="shared" si="33"/>
        <v>276</v>
      </c>
      <c r="F30" s="767">
        <f t="shared" si="33"/>
        <v>0</v>
      </c>
      <c r="G30" s="766">
        <f t="shared" si="1"/>
        <v>3</v>
      </c>
      <c r="H30" s="767">
        <f t="shared" si="2"/>
        <v>0</v>
      </c>
      <c r="I30" s="766">
        <f t="shared" si="34"/>
        <v>0</v>
      </c>
      <c r="J30" s="767">
        <f t="shared" si="35"/>
        <v>0</v>
      </c>
      <c r="K30" s="766">
        <f t="shared" si="36"/>
        <v>53</v>
      </c>
      <c r="L30" s="767">
        <f t="shared" si="37"/>
        <v>0</v>
      </c>
      <c r="M30" s="766">
        <f t="shared" si="38"/>
        <v>88</v>
      </c>
      <c r="N30" s="767">
        <f t="shared" si="39"/>
        <v>0</v>
      </c>
      <c r="O30" s="766">
        <f t="shared" si="40"/>
        <v>365</v>
      </c>
      <c r="P30" s="767">
        <f t="shared" si="41"/>
        <v>0</v>
      </c>
      <c r="Q30" s="766">
        <f t="shared" si="42"/>
        <v>0</v>
      </c>
      <c r="R30" s="768">
        <f t="shared" si="43"/>
        <v>0</v>
      </c>
      <c r="S30" s="766">
        <f t="shared" si="44"/>
        <v>1</v>
      </c>
      <c r="T30" s="768">
        <f t="shared" si="45"/>
        <v>0</v>
      </c>
      <c r="U30" s="766">
        <f t="shared" si="5"/>
        <v>0</v>
      </c>
      <c r="V30" s="768">
        <f t="shared" si="6"/>
        <v>0</v>
      </c>
      <c r="W30" s="766">
        <f t="shared" si="46"/>
        <v>0</v>
      </c>
      <c r="X30" s="769">
        <f t="shared" si="47"/>
        <v>0</v>
      </c>
      <c r="Y30" s="442">
        <f t="shared" si="11"/>
        <v>2272</v>
      </c>
      <c r="Z30" s="443">
        <f t="shared" si="12"/>
        <v>0</v>
      </c>
      <c r="AA30" s="21">
        <f>'t1'!M28</f>
        <v>99</v>
      </c>
      <c r="AC30" s="234">
        <v>1489</v>
      </c>
      <c r="AD30" s="235">
        <v>0</v>
      </c>
      <c r="AE30" s="234">
        <v>276</v>
      </c>
      <c r="AF30" s="235">
        <v>0</v>
      </c>
      <c r="AG30" s="234">
        <v>3</v>
      </c>
      <c r="AH30" s="235">
        <v>0</v>
      </c>
      <c r="AI30" s="234">
        <v>0</v>
      </c>
      <c r="AJ30" s="235">
        <v>0</v>
      </c>
      <c r="AK30" s="234">
        <v>53</v>
      </c>
      <c r="AL30" s="235">
        <v>0</v>
      </c>
      <c r="AM30" s="234">
        <v>88</v>
      </c>
      <c r="AN30" s="235">
        <v>0</v>
      </c>
      <c r="AO30" s="234">
        <v>365</v>
      </c>
      <c r="AP30" s="235">
        <v>0</v>
      </c>
      <c r="AQ30" s="234">
        <v>0</v>
      </c>
      <c r="AR30" s="523">
        <v>0</v>
      </c>
      <c r="AS30" s="234">
        <v>1</v>
      </c>
      <c r="AT30" s="523">
        <v>0</v>
      </c>
      <c r="AU30" s="234">
        <v>0</v>
      </c>
      <c r="AV30" s="523">
        <v>0</v>
      </c>
      <c r="AW30" s="234">
        <v>0</v>
      </c>
      <c r="AX30" s="519">
        <v>0</v>
      </c>
      <c r="AY30" s="442">
        <f t="shared" si="13"/>
        <v>2275</v>
      </c>
      <c r="AZ30" s="443">
        <f t="shared" si="14"/>
        <v>0</v>
      </c>
      <c r="BA30" s="21">
        <f>'t1'!AR28</f>
        <v>0</v>
      </c>
    </row>
    <row r="31" spans="1:53" ht="12.95" customHeight="1" x14ac:dyDescent="0.2">
      <c r="A31" s="129" t="str">
        <f>'t1'!A29</f>
        <v>POSIZIONE ECONOMICA B2  VIGILE DEL FUOCO</v>
      </c>
      <c r="B31" s="195" t="str">
        <f>'t1'!B29</f>
        <v>032VF1</v>
      </c>
      <c r="C31" s="766">
        <f t="shared" si="33"/>
        <v>801</v>
      </c>
      <c r="D31" s="767">
        <f t="shared" si="33"/>
        <v>0</v>
      </c>
      <c r="E31" s="766">
        <f t="shared" si="33"/>
        <v>40</v>
      </c>
      <c r="F31" s="767">
        <f t="shared" si="33"/>
        <v>0</v>
      </c>
      <c r="G31" s="766">
        <f t="shared" si="1"/>
        <v>0</v>
      </c>
      <c r="H31" s="767">
        <f t="shared" si="2"/>
        <v>0</v>
      </c>
      <c r="I31" s="766">
        <f t="shared" si="34"/>
        <v>0</v>
      </c>
      <c r="J31" s="767">
        <f t="shared" si="35"/>
        <v>0</v>
      </c>
      <c r="K31" s="766">
        <f t="shared" si="36"/>
        <v>0</v>
      </c>
      <c r="L31" s="767">
        <f t="shared" si="37"/>
        <v>0</v>
      </c>
      <c r="M31" s="766">
        <f t="shared" si="38"/>
        <v>39</v>
      </c>
      <c r="N31" s="767">
        <f t="shared" si="39"/>
        <v>0</v>
      </c>
      <c r="O31" s="766">
        <f t="shared" si="40"/>
        <v>72</v>
      </c>
      <c r="P31" s="767">
        <f t="shared" si="41"/>
        <v>0</v>
      </c>
      <c r="Q31" s="766">
        <f t="shared" si="42"/>
        <v>0</v>
      </c>
      <c r="R31" s="768">
        <f t="shared" si="43"/>
        <v>0</v>
      </c>
      <c r="S31" s="766">
        <f t="shared" si="44"/>
        <v>0</v>
      </c>
      <c r="T31" s="768">
        <f t="shared" si="45"/>
        <v>0</v>
      </c>
      <c r="U31" s="766">
        <f t="shared" si="5"/>
        <v>0</v>
      </c>
      <c r="V31" s="768">
        <f t="shared" si="6"/>
        <v>0</v>
      </c>
      <c r="W31" s="766">
        <f t="shared" si="46"/>
        <v>0</v>
      </c>
      <c r="X31" s="769">
        <f t="shared" si="47"/>
        <v>0</v>
      </c>
      <c r="Y31" s="442">
        <f t="shared" si="11"/>
        <v>952</v>
      </c>
      <c r="Z31" s="443">
        <f t="shared" si="12"/>
        <v>0</v>
      </c>
      <c r="AA31" s="21">
        <f>'t1'!M29</f>
        <v>19</v>
      </c>
      <c r="AC31" s="234">
        <v>801</v>
      </c>
      <c r="AD31" s="235">
        <v>0</v>
      </c>
      <c r="AE31" s="234">
        <v>40</v>
      </c>
      <c r="AF31" s="235">
        <v>0</v>
      </c>
      <c r="AG31" s="234">
        <v>0</v>
      </c>
      <c r="AH31" s="235">
        <v>0</v>
      </c>
      <c r="AI31" s="234">
        <v>0</v>
      </c>
      <c r="AJ31" s="235">
        <v>0</v>
      </c>
      <c r="AK31" s="234">
        <v>0</v>
      </c>
      <c r="AL31" s="235">
        <v>0</v>
      </c>
      <c r="AM31" s="234">
        <v>39</v>
      </c>
      <c r="AN31" s="235">
        <v>0</v>
      </c>
      <c r="AO31" s="234">
        <v>72</v>
      </c>
      <c r="AP31" s="235">
        <v>0</v>
      </c>
      <c r="AQ31" s="234">
        <v>0</v>
      </c>
      <c r="AR31" s="523">
        <v>0</v>
      </c>
      <c r="AS31" s="234">
        <v>0</v>
      </c>
      <c r="AT31" s="523">
        <v>0</v>
      </c>
      <c r="AU31" s="234">
        <v>0</v>
      </c>
      <c r="AV31" s="523">
        <v>0</v>
      </c>
      <c r="AW31" s="234">
        <v>0</v>
      </c>
      <c r="AX31" s="519">
        <v>0</v>
      </c>
      <c r="AY31" s="442">
        <f t="shared" si="13"/>
        <v>952</v>
      </c>
      <c r="AZ31" s="443">
        <f t="shared" si="14"/>
        <v>0</v>
      </c>
      <c r="BA31" s="21">
        <f>'t1'!AR29</f>
        <v>0</v>
      </c>
    </row>
    <row r="32" spans="1:53" ht="12.95" customHeight="1" x14ac:dyDescent="0.2">
      <c r="A32" s="129" t="str">
        <f>'t1'!A30</f>
        <v>POSIZIONE ECONOMICA A</v>
      </c>
      <c r="B32" s="195" t="str">
        <f>'t1'!B30</f>
        <v>022000</v>
      </c>
      <c r="C32" s="766">
        <f t="shared" si="33"/>
        <v>1149</v>
      </c>
      <c r="D32" s="767">
        <f t="shared" si="33"/>
        <v>5722</v>
      </c>
      <c r="E32" s="766">
        <f t="shared" si="33"/>
        <v>978</v>
      </c>
      <c r="F32" s="767">
        <f t="shared" si="33"/>
        <v>3593</v>
      </c>
      <c r="G32" s="766">
        <f t="shared" si="1"/>
        <v>54</v>
      </c>
      <c r="H32" s="767">
        <f t="shared" si="2"/>
        <v>195</v>
      </c>
      <c r="I32" s="766">
        <f t="shared" si="34"/>
        <v>151</v>
      </c>
      <c r="J32" s="767">
        <f t="shared" si="35"/>
        <v>731</v>
      </c>
      <c r="K32" s="766">
        <f t="shared" si="36"/>
        <v>65</v>
      </c>
      <c r="L32" s="767">
        <f t="shared" si="37"/>
        <v>571</v>
      </c>
      <c r="M32" s="766">
        <f t="shared" si="38"/>
        <v>43</v>
      </c>
      <c r="N32" s="767">
        <f t="shared" si="39"/>
        <v>105</v>
      </c>
      <c r="O32" s="766">
        <f t="shared" si="40"/>
        <v>176</v>
      </c>
      <c r="P32" s="767">
        <f t="shared" si="41"/>
        <v>1277</v>
      </c>
      <c r="Q32" s="766">
        <f t="shared" si="42"/>
        <v>8</v>
      </c>
      <c r="R32" s="768">
        <f t="shared" si="43"/>
        <v>27</v>
      </c>
      <c r="S32" s="766">
        <f t="shared" si="44"/>
        <v>28</v>
      </c>
      <c r="T32" s="768">
        <f t="shared" si="45"/>
        <v>351</v>
      </c>
      <c r="U32" s="766">
        <f t="shared" si="5"/>
        <v>0</v>
      </c>
      <c r="V32" s="768">
        <f t="shared" si="6"/>
        <v>0</v>
      </c>
      <c r="W32" s="766">
        <f t="shared" si="46"/>
        <v>0</v>
      </c>
      <c r="X32" s="769">
        <f t="shared" si="47"/>
        <v>0</v>
      </c>
      <c r="Y32" s="442">
        <f t="shared" si="11"/>
        <v>2598</v>
      </c>
      <c r="Z32" s="443">
        <f t="shared" si="12"/>
        <v>12377</v>
      </c>
      <c r="AA32" s="21">
        <f>'t1'!M30</f>
        <v>220</v>
      </c>
      <c r="AC32" s="234">
        <v>1149</v>
      </c>
      <c r="AD32" s="235">
        <v>5722</v>
      </c>
      <c r="AE32" s="234">
        <v>978</v>
      </c>
      <c r="AF32" s="235">
        <v>3593</v>
      </c>
      <c r="AG32" s="234">
        <v>54</v>
      </c>
      <c r="AH32" s="235">
        <v>195</v>
      </c>
      <c r="AI32" s="234">
        <v>151</v>
      </c>
      <c r="AJ32" s="235">
        <v>731</v>
      </c>
      <c r="AK32" s="234">
        <v>65</v>
      </c>
      <c r="AL32" s="235">
        <v>571</v>
      </c>
      <c r="AM32" s="234">
        <v>43</v>
      </c>
      <c r="AN32" s="235">
        <v>105</v>
      </c>
      <c r="AO32" s="234">
        <v>176</v>
      </c>
      <c r="AP32" s="235">
        <v>1277</v>
      </c>
      <c r="AQ32" s="234">
        <v>8</v>
      </c>
      <c r="AR32" s="523">
        <v>27</v>
      </c>
      <c r="AS32" s="234">
        <v>28</v>
      </c>
      <c r="AT32" s="523">
        <v>351</v>
      </c>
      <c r="AU32" s="234">
        <v>0</v>
      </c>
      <c r="AV32" s="523">
        <v>0</v>
      </c>
      <c r="AW32" s="234">
        <v>0</v>
      </c>
      <c r="AX32" s="519">
        <v>0</v>
      </c>
      <c r="AY32" s="442">
        <f t="shared" si="13"/>
        <v>2652</v>
      </c>
      <c r="AZ32" s="443">
        <f t="shared" si="14"/>
        <v>12572</v>
      </c>
      <c r="BA32" s="21">
        <f>'t1'!AR30</f>
        <v>0</v>
      </c>
    </row>
    <row r="33" spans="1:53" ht="12.95" customHeight="1" x14ac:dyDescent="0.2">
      <c r="A33" s="129" t="str">
        <f>'t1'!A31</f>
        <v>CONTRATTISTI</v>
      </c>
      <c r="B33" s="195" t="str">
        <f>'t1'!B31</f>
        <v>000061</v>
      </c>
      <c r="C33" s="766">
        <f t="shared" si="33"/>
        <v>2782</v>
      </c>
      <c r="D33" s="767">
        <f t="shared" si="33"/>
        <v>942</v>
      </c>
      <c r="E33" s="766">
        <f t="shared" si="33"/>
        <v>0</v>
      </c>
      <c r="F33" s="767">
        <f t="shared" si="33"/>
        <v>0</v>
      </c>
      <c r="G33" s="766">
        <f t="shared" si="1"/>
        <v>943</v>
      </c>
      <c r="H33" s="767">
        <f t="shared" si="2"/>
        <v>239</v>
      </c>
      <c r="I33" s="766">
        <f t="shared" si="34"/>
        <v>0</v>
      </c>
      <c r="J33" s="767">
        <f t="shared" si="35"/>
        <v>8</v>
      </c>
      <c r="K33" s="766">
        <f t="shared" si="36"/>
        <v>175</v>
      </c>
      <c r="L33" s="767">
        <f t="shared" si="37"/>
        <v>125</v>
      </c>
      <c r="M33" s="766">
        <f t="shared" si="38"/>
        <v>14</v>
      </c>
      <c r="N33" s="767">
        <f t="shared" si="39"/>
        <v>0</v>
      </c>
      <c r="O33" s="766">
        <f t="shared" si="40"/>
        <v>51</v>
      </c>
      <c r="P33" s="767">
        <f t="shared" si="41"/>
        <v>2</v>
      </c>
      <c r="Q33" s="766">
        <f t="shared" si="42"/>
        <v>2</v>
      </c>
      <c r="R33" s="768">
        <f t="shared" si="43"/>
        <v>1</v>
      </c>
      <c r="S33" s="766">
        <f t="shared" si="44"/>
        <v>73</v>
      </c>
      <c r="T33" s="768">
        <f t="shared" si="45"/>
        <v>0</v>
      </c>
      <c r="U33" s="766">
        <f t="shared" si="5"/>
        <v>0</v>
      </c>
      <c r="V33" s="768">
        <f t="shared" si="6"/>
        <v>0</v>
      </c>
      <c r="W33" s="766">
        <f t="shared" si="46"/>
        <v>0</v>
      </c>
      <c r="X33" s="769">
        <f t="shared" si="47"/>
        <v>0</v>
      </c>
      <c r="Y33" s="442">
        <f t="shared" si="11"/>
        <v>3097</v>
      </c>
      <c r="Z33" s="443">
        <f t="shared" si="12"/>
        <v>1078</v>
      </c>
      <c r="AA33" s="21">
        <f>'t1'!M31</f>
        <v>128</v>
      </c>
      <c r="AC33" s="234">
        <f>62+2720</f>
        <v>2782</v>
      </c>
      <c r="AD33" s="235">
        <f>942</f>
        <v>942</v>
      </c>
      <c r="AE33" s="234"/>
      <c r="AF33" s="235"/>
      <c r="AG33" s="234">
        <f>47+896</f>
        <v>943</v>
      </c>
      <c r="AH33" s="235">
        <v>239</v>
      </c>
      <c r="AI33" s="234"/>
      <c r="AJ33" s="235">
        <v>8</v>
      </c>
      <c r="AK33" s="234">
        <v>175</v>
      </c>
      <c r="AL33" s="235">
        <v>125</v>
      </c>
      <c r="AM33" s="234">
        <v>14</v>
      </c>
      <c r="AN33" s="235"/>
      <c r="AO33" s="234">
        <f>3+48</f>
        <v>51</v>
      </c>
      <c r="AP33" s="235">
        <v>2</v>
      </c>
      <c r="AQ33" s="234">
        <v>2</v>
      </c>
      <c r="AR33" s="523">
        <v>1</v>
      </c>
      <c r="AS33" s="234">
        <f>37+36</f>
        <v>73</v>
      </c>
      <c r="AT33" s="523"/>
      <c r="AU33" s="234"/>
      <c r="AV33" s="523"/>
      <c r="AW33" s="234"/>
      <c r="AX33" s="519"/>
      <c r="AY33" s="442">
        <f t="shared" si="13"/>
        <v>4040</v>
      </c>
      <c r="AZ33" s="443">
        <f t="shared" si="14"/>
        <v>1317</v>
      </c>
      <c r="BA33" s="21">
        <f>'t1'!AR31</f>
        <v>0</v>
      </c>
    </row>
    <row r="34" spans="1:53" ht="12.95" customHeight="1" x14ac:dyDescent="0.2">
      <c r="A34" s="129" t="str">
        <f>'t1'!A32</f>
        <v>SEGRETARIO GENERALE CCIAA</v>
      </c>
      <c r="B34" s="195" t="str">
        <f>'t1'!B32</f>
        <v>0D0104</v>
      </c>
      <c r="C34" s="766">
        <f t="shared" si="33"/>
        <v>0</v>
      </c>
      <c r="D34" s="767">
        <f t="shared" si="33"/>
        <v>0</v>
      </c>
      <c r="E34" s="766">
        <f t="shared" si="33"/>
        <v>0</v>
      </c>
      <c r="F34" s="767">
        <f t="shared" si="33"/>
        <v>0</v>
      </c>
      <c r="G34" s="766">
        <f t="shared" si="1"/>
        <v>0</v>
      </c>
      <c r="H34" s="767">
        <f t="shared" si="2"/>
        <v>0</v>
      </c>
      <c r="I34" s="766">
        <f t="shared" si="34"/>
        <v>0</v>
      </c>
      <c r="J34" s="767">
        <f t="shared" si="35"/>
        <v>0</v>
      </c>
      <c r="K34" s="766">
        <f t="shared" si="36"/>
        <v>0</v>
      </c>
      <c r="L34" s="767">
        <f t="shared" si="37"/>
        <v>0</v>
      </c>
      <c r="M34" s="766">
        <f t="shared" si="38"/>
        <v>0</v>
      </c>
      <c r="N34" s="767">
        <f t="shared" si="39"/>
        <v>0</v>
      </c>
      <c r="O34" s="766">
        <f t="shared" si="40"/>
        <v>0</v>
      </c>
      <c r="P34" s="767">
        <f t="shared" si="41"/>
        <v>0</v>
      </c>
      <c r="Q34" s="766">
        <f t="shared" si="42"/>
        <v>0</v>
      </c>
      <c r="R34" s="768">
        <f t="shared" si="43"/>
        <v>0</v>
      </c>
      <c r="S34" s="766">
        <f t="shared" si="44"/>
        <v>0</v>
      </c>
      <c r="T34" s="768">
        <f t="shared" si="45"/>
        <v>0</v>
      </c>
      <c r="U34" s="766">
        <f t="shared" si="5"/>
        <v>0</v>
      </c>
      <c r="V34" s="768">
        <f t="shared" si="6"/>
        <v>0</v>
      </c>
      <c r="W34" s="766">
        <f t="shared" si="46"/>
        <v>0</v>
      </c>
      <c r="X34" s="769">
        <f t="shared" si="47"/>
        <v>0</v>
      </c>
      <c r="Y34" s="442">
        <f t="shared" si="11"/>
        <v>0</v>
      </c>
      <c r="Z34" s="443">
        <f t="shared" si="12"/>
        <v>0</v>
      </c>
      <c r="AA34" s="21">
        <f>'t1'!M32</f>
        <v>0</v>
      </c>
      <c r="AC34" s="234"/>
      <c r="AD34" s="235"/>
      <c r="AE34" s="234"/>
      <c r="AF34" s="235"/>
      <c r="AG34" s="234"/>
      <c r="AH34" s="235"/>
      <c r="AI34" s="234"/>
      <c r="AJ34" s="235"/>
      <c r="AK34" s="234"/>
      <c r="AL34" s="235"/>
      <c r="AM34" s="234"/>
      <c r="AN34" s="235"/>
      <c r="AO34" s="234"/>
      <c r="AP34" s="235"/>
      <c r="AQ34" s="234"/>
      <c r="AR34" s="523"/>
      <c r="AS34" s="234"/>
      <c r="AT34" s="523"/>
      <c r="AU34" s="234"/>
      <c r="AV34" s="523"/>
      <c r="AW34" s="234"/>
      <c r="AX34" s="519"/>
      <c r="AY34" s="442">
        <f t="shared" si="13"/>
        <v>0</v>
      </c>
      <c r="AZ34" s="443">
        <f t="shared" si="14"/>
        <v>0</v>
      </c>
      <c r="BA34" s="21">
        <f>'t1'!AR32</f>
        <v>0</v>
      </c>
    </row>
    <row r="35" spans="1:53" ht="12.95" customHeight="1" thickBot="1" x14ac:dyDescent="0.25">
      <c r="A35" s="129" t="str">
        <f>'t1'!A33</f>
        <v>COLLABORATORE A TEMPO DETERMINATO</v>
      </c>
      <c r="B35" s="195" t="str">
        <f>'t1'!B33</f>
        <v>000096</v>
      </c>
      <c r="C35" s="766">
        <f t="shared" si="33"/>
        <v>94</v>
      </c>
      <c r="D35" s="767">
        <f t="shared" si="33"/>
        <v>75</v>
      </c>
      <c r="E35" s="766">
        <f t="shared" si="33"/>
        <v>4</v>
      </c>
      <c r="F35" s="767">
        <f t="shared" si="33"/>
        <v>0</v>
      </c>
      <c r="G35" s="766">
        <f t="shared" si="1"/>
        <v>88</v>
      </c>
      <c r="H35" s="767">
        <f t="shared" si="2"/>
        <v>0</v>
      </c>
      <c r="I35" s="766">
        <f t="shared" si="34"/>
        <v>0</v>
      </c>
      <c r="J35" s="767">
        <f t="shared" si="35"/>
        <v>0</v>
      </c>
      <c r="K35" s="766">
        <f t="shared" si="36"/>
        <v>0</v>
      </c>
      <c r="L35" s="767">
        <f t="shared" si="37"/>
        <v>0</v>
      </c>
      <c r="M35" s="766">
        <f t="shared" si="38"/>
        <v>0</v>
      </c>
      <c r="N35" s="767">
        <f t="shared" si="39"/>
        <v>0</v>
      </c>
      <c r="O35" s="766">
        <f t="shared" si="40"/>
        <v>45</v>
      </c>
      <c r="P35" s="767">
        <f t="shared" si="41"/>
        <v>0</v>
      </c>
      <c r="Q35" s="766">
        <f t="shared" si="42"/>
        <v>0</v>
      </c>
      <c r="R35" s="768">
        <f t="shared" si="43"/>
        <v>0</v>
      </c>
      <c r="S35" s="766">
        <f t="shared" si="44"/>
        <v>0</v>
      </c>
      <c r="T35" s="768">
        <f t="shared" si="45"/>
        <v>0</v>
      </c>
      <c r="U35" s="766">
        <f t="shared" si="5"/>
        <v>0</v>
      </c>
      <c r="V35" s="768">
        <f t="shared" si="6"/>
        <v>0</v>
      </c>
      <c r="W35" s="766">
        <f t="shared" si="46"/>
        <v>0</v>
      </c>
      <c r="X35" s="769">
        <f t="shared" si="47"/>
        <v>0</v>
      </c>
      <c r="Y35" s="442">
        <f t="shared" si="11"/>
        <v>143</v>
      </c>
      <c r="Z35" s="443">
        <f t="shared" si="12"/>
        <v>75</v>
      </c>
      <c r="AA35" s="21">
        <f>'t1'!M33</f>
        <v>11</v>
      </c>
      <c r="AC35" s="234">
        <v>94</v>
      </c>
      <c r="AD35" s="235">
        <v>75</v>
      </c>
      <c r="AE35" s="234">
        <v>4</v>
      </c>
      <c r="AF35" s="235">
        <v>0</v>
      </c>
      <c r="AG35" s="234">
        <v>88</v>
      </c>
      <c r="AH35" s="235">
        <v>0</v>
      </c>
      <c r="AI35" s="234">
        <v>0</v>
      </c>
      <c r="AJ35" s="235">
        <v>0</v>
      </c>
      <c r="AK35" s="234">
        <v>0</v>
      </c>
      <c r="AL35" s="235">
        <v>0</v>
      </c>
      <c r="AM35" s="234">
        <v>0</v>
      </c>
      <c r="AN35" s="235">
        <v>0</v>
      </c>
      <c r="AO35" s="234">
        <v>45</v>
      </c>
      <c r="AP35" s="235">
        <v>0</v>
      </c>
      <c r="AQ35" s="234">
        <v>0</v>
      </c>
      <c r="AR35" s="523">
        <v>0</v>
      </c>
      <c r="AS35" s="234"/>
      <c r="AT35" s="523"/>
      <c r="AU35" s="234"/>
      <c r="AV35" s="523"/>
      <c r="AW35" s="234">
        <v>0</v>
      </c>
      <c r="AX35" s="519"/>
      <c r="AY35" s="442">
        <f t="shared" si="13"/>
        <v>231</v>
      </c>
      <c r="AZ35" s="443">
        <f t="shared" si="14"/>
        <v>75</v>
      </c>
      <c r="BA35" s="21">
        <f>'t1'!AR33</f>
        <v>0</v>
      </c>
    </row>
    <row r="36" spans="1:53" ht="12.95" customHeight="1" thickTop="1" thickBot="1" x14ac:dyDescent="0.25">
      <c r="A36" s="24" t="s">
        <v>71</v>
      </c>
      <c r="B36" s="550"/>
      <c r="C36" s="396">
        <f t="shared" ref="C36:Z36" si="48">SUM(C8:C35)</f>
        <v>29614</v>
      </c>
      <c r="D36" s="397">
        <f t="shared" si="48"/>
        <v>41382</v>
      </c>
      <c r="E36" s="396">
        <f t="shared" si="48"/>
        <v>4286</v>
      </c>
      <c r="F36" s="397">
        <f t="shared" si="48"/>
        <v>9868</v>
      </c>
      <c r="G36" s="396">
        <f t="shared" ref="G36:H36" si="49">SUM(G8:G35)</f>
        <v>1595</v>
      </c>
      <c r="H36" s="397">
        <f t="shared" si="49"/>
        <v>949</v>
      </c>
      <c r="I36" s="396">
        <f t="shared" si="48"/>
        <v>476</v>
      </c>
      <c r="J36" s="397">
        <f t="shared" si="48"/>
        <v>1970</v>
      </c>
      <c r="K36" s="396">
        <f t="shared" si="48"/>
        <v>1485</v>
      </c>
      <c r="L36" s="397">
        <f t="shared" si="48"/>
        <v>3867</v>
      </c>
      <c r="M36" s="396">
        <f t="shared" si="48"/>
        <v>583</v>
      </c>
      <c r="N36" s="397">
        <f t="shared" si="48"/>
        <v>4091</v>
      </c>
      <c r="O36" s="396">
        <f t="shared" si="48"/>
        <v>5101</v>
      </c>
      <c r="P36" s="397">
        <f t="shared" si="48"/>
        <v>8142</v>
      </c>
      <c r="Q36" s="396">
        <f t="shared" si="48"/>
        <v>56</v>
      </c>
      <c r="R36" s="524">
        <f t="shared" si="48"/>
        <v>109</v>
      </c>
      <c r="S36" s="396">
        <f t="shared" si="48"/>
        <v>4730</v>
      </c>
      <c r="T36" s="524">
        <f t="shared" si="48"/>
        <v>3136</v>
      </c>
      <c r="U36" s="396">
        <f t="shared" si="48"/>
        <v>0</v>
      </c>
      <c r="V36" s="524">
        <f t="shared" si="48"/>
        <v>0</v>
      </c>
      <c r="W36" s="396">
        <f t="shared" si="48"/>
        <v>6583</v>
      </c>
      <c r="X36" s="520">
        <f t="shared" si="48"/>
        <v>19334</v>
      </c>
      <c r="Y36" s="396">
        <f t="shared" si="48"/>
        <v>52914</v>
      </c>
      <c r="Z36" s="398">
        <f t="shared" si="48"/>
        <v>91899</v>
      </c>
      <c r="AC36" s="396">
        <f t="shared" ref="AC36:AZ36" si="50">SUM(AC8:AC35)</f>
        <v>29614</v>
      </c>
      <c r="AD36" s="397">
        <f t="shared" si="50"/>
        <v>41382</v>
      </c>
      <c r="AE36" s="396">
        <f t="shared" si="50"/>
        <v>4286</v>
      </c>
      <c r="AF36" s="397">
        <f t="shared" si="50"/>
        <v>9868</v>
      </c>
      <c r="AG36" s="396">
        <f t="shared" ref="AG36:AH36" si="51">SUM(AG8:AG35)</f>
        <v>1595</v>
      </c>
      <c r="AH36" s="397">
        <f t="shared" si="51"/>
        <v>949</v>
      </c>
      <c r="AI36" s="396">
        <f t="shared" si="50"/>
        <v>476</v>
      </c>
      <c r="AJ36" s="397">
        <f t="shared" si="50"/>
        <v>1970</v>
      </c>
      <c r="AK36" s="396">
        <f t="shared" si="50"/>
        <v>1485</v>
      </c>
      <c r="AL36" s="397">
        <f t="shared" si="50"/>
        <v>3867</v>
      </c>
      <c r="AM36" s="396">
        <f t="shared" si="50"/>
        <v>583</v>
      </c>
      <c r="AN36" s="397">
        <f t="shared" si="50"/>
        <v>4091</v>
      </c>
      <c r="AO36" s="396">
        <f t="shared" si="50"/>
        <v>5101</v>
      </c>
      <c r="AP36" s="397">
        <f t="shared" si="50"/>
        <v>8142</v>
      </c>
      <c r="AQ36" s="396">
        <f t="shared" si="50"/>
        <v>56</v>
      </c>
      <c r="AR36" s="524">
        <f t="shared" si="50"/>
        <v>109</v>
      </c>
      <c r="AS36" s="396">
        <f t="shared" si="50"/>
        <v>4730</v>
      </c>
      <c r="AT36" s="524">
        <f t="shared" si="50"/>
        <v>3136</v>
      </c>
      <c r="AU36" s="396">
        <f>SUM(AU8:AU35)</f>
        <v>0</v>
      </c>
      <c r="AV36" s="524">
        <f>SUM(AV8:AV35)</f>
        <v>0</v>
      </c>
      <c r="AW36" s="396">
        <f t="shared" si="50"/>
        <v>6583</v>
      </c>
      <c r="AX36" s="520">
        <f t="shared" si="50"/>
        <v>19334</v>
      </c>
      <c r="AY36" s="396">
        <f t="shared" si="50"/>
        <v>54509</v>
      </c>
      <c r="AZ36" s="398">
        <f t="shared" si="50"/>
        <v>92848</v>
      </c>
    </row>
    <row r="37" spans="1:53" ht="17.25" customHeight="1" x14ac:dyDescent="0.2">
      <c r="A37" s="17" t="str">
        <f>'t1'!$A$35</f>
        <v>(a) personale a tempo indeterminato al quale viene applicato un contratto di lavoro di tipo privatistico (es.:tipografico,chimico,edile,metalmeccanico,portierato, ecc.)</v>
      </c>
      <c r="B37" s="2"/>
      <c r="C37" s="3"/>
      <c r="D37" s="3"/>
      <c r="E37" s="3"/>
      <c r="F37" s="3"/>
      <c r="G37" s="3"/>
      <c r="H37" s="3"/>
      <c r="I37" s="3"/>
      <c r="K37" s="3"/>
      <c r="AC37" s="3"/>
      <c r="AD37" s="3"/>
      <c r="AE37" s="3"/>
      <c r="AF37" s="3"/>
      <c r="AG37" s="3"/>
      <c r="AH37" s="3"/>
      <c r="AI37" s="3"/>
      <c r="AK37" s="3"/>
    </row>
    <row r="38" spans="1:53" x14ac:dyDescent="0.2">
      <c r="A38" s="17" t="str">
        <f>'t1'!$A$36</f>
        <v>(b) cfr." istruzioni generali e specifiche di comparto" e "glossario"</v>
      </c>
    </row>
  </sheetData>
  <sheetProtection algorithmName="SHA-512" hashValue="64shNxDl8uTbj8RfhgaC4W75D1fdNvBK0hcSZVcuCVh4NyDzfpbB1j/uBTSJXOvT/aFlMHgTGCB962oOeK4NLw==" saltValue="hSg4Bv1rDJjfPJc8P0IJ/w==" spinCount="100000" sheet="1" formatColumns="0" selectLockedCells="1"/>
  <mergeCells count="46">
    <mergeCell ref="AI2:AJ2"/>
    <mergeCell ref="AK2:AL2"/>
    <mergeCell ref="AQ5:AR5"/>
    <mergeCell ref="AI5:AJ5"/>
    <mergeCell ref="M5:N5"/>
    <mergeCell ref="O4:P4"/>
    <mergeCell ref="Q5:R5"/>
    <mergeCell ref="S5:T5"/>
    <mergeCell ref="W5:X5"/>
    <mergeCell ref="Q4:R4"/>
    <mergeCell ref="S4:T4"/>
    <mergeCell ref="W4:X4"/>
    <mergeCell ref="M4:N4"/>
    <mergeCell ref="AK5:AL5"/>
    <mergeCell ref="AI4:AJ4"/>
    <mergeCell ref="AK4:AL4"/>
    <mergeCell ref="AM4:AN4"/>
    <mergeCell ref="AM5:AN5"/>
    <mergeCell ref="AO5:AP5"/>
    <mergeCell ref="U4:V4"/>
    <mergeCell ref="U5:V5"/>
    <mergeCell ref="AG4:AH4"/>
    <mergeCell ref="AG5:AH5"/>
    <mergeCell ref="O5:P5"/>
    <mergeCell ref="AC5:AD5"/>
    <mergeCell ref="AE5:AF5"/>
    <mergeCell ref="AE4:AF4"/>
    <mergeCell ref="K2:L2"/>
    <mergeCell ref="K4:L4"/>
    <mergeCell ref="K5:L5"/>
    <mergeCell ref="C5:D5"/>
    <mergeCell ref="E5:F5"/>
    <mergeCell ref="E4:F4"/>
    <mergeCell ref="I2:J2"/>
    <mergeCell ref="I4:J4"/>
    <mergeCell ref="I5:J5"/>
    <mergeCell ref="G4:H4"/>
    <mergeCell ref="G5:H5"/>
    <mergeCell ref="AW5:AX5"/>
    <mergeCell ref="AO4:AP4"/>
    <mergeCell ref="AQ4:AR4"/>
    <mergeCell ref="AS4:AT4"/>
    <mergeCell ref="AW4:AX4"/>
    <mergeCell ref="AU5:AV5"/>
    <mergeCell ref="AU4:AV4"/>
    <mergeCell ref="AS5:AT5"/>
  </mergeCells>
  <phoneticPr fontId="30" type="noConversion"/>
  <conditionalFormatting sqref="A8:Z35 AC8:AZ35">
    <cfRule type="expression" dxfId="23" priority="1" stopIfTrue="1">
      <formula>$AA8&gt;0</formula>
    </cfRule>
  </conditionalFormatting>
  <printOptions horizontalCentered="1" verticalCentered="1"/>
  <pageMargins left="0" right="0" top="0.19685039370078741" bottom="0.15748031496062992" header="0.15748031496062992" footer="0.19685039370078741"/>
  <pageSetup paperSize="9" scale="7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9"/>
  <dimension ref="A1:AO38"/>
  <sheetViews>
    <sheetView showGridLines="0" zoomScaleNormal="100" workbookViewId="0">
      <pane xSplit="2" ySplit="5" topLeftCell="C6" activePane="bottomRight" state="frozen"/>
      <selection activeCell="A2" sqref="A2"/>
      <selection pane="topRight" activeCell="A2" sqref="A2"/>
      <selection pane="bottomLeft" activeCell="A2" sqref="A2"/>
      <selection pane="bottomRight" activeCell="AA31" sqref="AA31"/>
    </sheetView>
  </sheetViews>
  <sheetFormatPr defaultColWidth="9.33203125" defaultRowHeight="11.25" x14ac:dyDescent="0.2"/>
  <cols>
    <col min="1" max="1" width="43.33203125" style="3" customWidth="1"/>
    <col min="2" max="2" width="11" style="2" customWidth="1"/>
    <col min="3" max="3" width="14.6640625" style="3" hidden="1" customWidth="1"/>
    <col min="4" max="10" width="16.6640625" style="3" hidden="1" customWidth="1"/>
    <col min="11" max="11" width="9.33203125" style="3" hidden="1" customWidth="1"/>
    <col min="12" max="12" width="11.6640625" style="824" hidden="1" customWidth="1"/>
    <col min="13" max="26" width="9.33203125" style="3" hidden="1" customWidth="1"/>
    <col min="27" max="27" width="14.6640625" style="3" customWidth="1"/>
    <col min="28" max="34" width="16.6640625" style="3" customWidth="1"/>
    <col min="35" max="36" width="0" style="3" hidden="1" customWidth="1"/>
    <col min="37" max="37" width="9.33203125" style="3"/>
    <col min="38" max="41" width="9.33203125" style="3" hidden="1" customWidth="1"/>
    <col min="42" max="42" width="39.6640625" style="3" customWidth="1"/>
    <col min="43" max="16384" width="9.33203125" style="3"/>
  </cols>
  <sheetData>
    <row r="1" spans="1:36" ht="33" customHeight="1" x14ac:dyDescent="0.2">
      <c r="A1" s="765" t="str">
        <f>'t1'!A1</f>
        <v>REGIONE VALLE D'AOSTA - anno 2024</v>
      </c>
      <c r="B1" s="765"/>
      <c r="C1" s="765"/>
      <c r="D1" s="765"/>
      <c r="E1" s="765"/>
      <c r="F1" s="765"/>
      <c r="G1" s="765"/>
      <c r="H1" s="765"/>
      <c r="J1" s="270"/>
      <c r="L1" s="826"/>
      <c r="AH1" s="270"/>
      <c r="AJ1"/>
    </row>
    <row r="2" spans="1:36" ht="27" customHeight="1" thickBot="1" x14ac:dyDescent="0.25">
      <c r="A2" s="5"/>
      <c r="H2" s="1487"/>
      <c r="I2" s="1487"/>
      <c r="J2" s="1487"/>
      <c r="AF2" s="1487"/>
      <c r="AG2" s="1487"/>
      <c r="AH2" s="1487"/>
    </row>
    <row r="3" spans="1:36" ht="12" thickBot="1" x14ac:dyDescent="0.25">
      <c r="A3" s="7"/>
      <c r="B3" s="8"/>
      <c r="C3" s="106" t="s">
        <v>251</v>
      </c>
      <c r="D3" s="9"/>
      <c r="E3" s="9"/>
      <c r="F3" s="9"/>
      <c r="G3" s="9"/>
      <c r="H3" s="9"/>
      <c r="I3" s="103"/>
      <c r="J3" s="103"/>
      <c r="AA3" s="106" t="s">
        <v>251</v>
      </c>
      <c r="AB3" s="9"/>
      <c r="AC3" s="9"/>
      <c r="AD3" s="9"/>
      <c r="AE3" s="9"/>
      <c r="AF3" s="9"/>
      <c r="AG3" s="103"/>
      <c r="AH3" s="103"/>
    </row>
    <row r="4" spans="1:36" ht="54.6" customHeight="1" thickTop="1" x14ac:dyDescent="0.2">
      <c r="A4" s="18" t="s">
        <v>140</v>
      </c>
      <c r="B4" s="104" t="s">
        <v>68</v>
      </c>
      <c r="C4" s="105" t="s">
        <v>178</v>
      </c>
      <c r="D4" s="105" t="s">
        <v>141</v>
      </c>
      <c r="E4" s="829" t="s">
        <v>742</v>
      </c>
      <c r="F4" s="830" t="s">
        <v>1054</v>
      </c>
      <c r="G4" s="603" t="s">
        <v>528</v>
      </c>
      <c r="H4" s="105" t="s">
        <v>177</v>
      </c>
      <c r="I4" s="105" t="s">
        <v>106</v>
      </c>
      <c r="J4" s="553" t="s">
        <v>71</v>
      </c>
      <c r="AA4" s="105" t="s">
        <v>178</v>
      </c>
      <c r="AB4" s="105" t="s">
        <v>141</v>
      </c>
      <c r="AC4" s="829" t="s">
        <v>742</v>
      </c>
      <c r="AD4" s="830" t="s">
        <v>1054</v>
      </c>
      <c r="AE4" s="603" t="s">
        <v>528</v>
      </c>
      <c r="AF4" s="105" t="s">
        <v>177</v>
      </c>
      <c r="AG4" s="105" t="s">
        <v>106</v>
      </c>
      <c r="AH4" s="553" t="s">
        <v>71</v>
      </c>
    </row>
    <row r="5" spans="1:36" s="231" customFormat="1" thickBot="1" x14ac:dyDescent="0.2">
      <c r="A5" s="755" t="s">
        <v>635</v>
      </c>
      <c r="B5" s="248"/>
      <c r="C5" s="249" t="s">
        <v>477</v>
      </c>
      <c r="D5" s="249" t="s">
        <v>473</v>
      </c>
      <c r="E5" s="249" t="s">
        <v>743</v>
      </c>
      <c r="F5" s="249" t="s">
        <v>744</v>
      </c>
      <c r="G5" s="249" t="s">
        <v>474</v>
      </c>
      <c r="H5" s="249" t="s">
        <v>475</v>
      </c>
      <c r="I5" s="249" t="s">
        <v>476</v>
      </c>
      <c r="J5" s="250"/>
      <c r="L5" s="827"/>
      <c r="AA5" s="249" t="s">
        <v>477</v>
      </c>
      <c r="AB5" s="249" t="s">
        <v>473</v>
      </c>
      <c r="AC5" s="249" t="s">
        <v>743</v>
      </c>
      <c r="AD5" s="249" t="s">
        <v>744</v>
      </c>
      <c r="AE5" s="249" t="s">
        <v>474</v>
      </c>
      <c r="AF5" s="249" t="s">
        <v>475</v>
      </c>
      <c r="AG5" s="249" t="s">
        <v>476</v>
      </c>
      <c r="AH5" s="250"/>
    </row>
    <row r="6" spans="1:36" ht="12" customHeight="1" thickTop="1" x14ac:dyDescent="0.2">
      <c r="A6" s="129" t="str">
        <f>'t1'!A6</f>
        <v>SEGRETARIO I FASCIA</v>
      </c>
      <c r="B6" s="195" t="str">
        <f>'t1'!B6</f>
        <v>0D0102</v>
      </c>
      <c r="C6" s="183">
        <f>ROUND(AA6,2)</f>
        <v>0</v>
      </c>
      <c r="D6" s="761">
        <f t="shared" ref="D6:I6" si="0">ROUND(AB6,0)</f>
        <v>0</v>
      </c>
      <c r="E6" s="761">
        <f t="shared" si="0"/>
        <v>0</v>
      </c>
      <c r="F6" s="761">
        <f t="shared" si="0"/>
        <v>0</v>
      </c>
      <c r="G6" s="761">
        <f t="shared" si="0"/>
        <v>0</v>
      </c>
      <c r="H6" s="761">
        <f t="shared" si="0"/>
        <v>0</v>
      </c>
      <c r="I6" s="770">
        <f t="shared" si="0"/>
        <v>0</v>
      </c>
      <c r="J6" s="371">
        <f>(D6+E6+F6+G6+H6)-I6</f>
        <v>0</v>
      </c>
      <c r="K6" s="3">
        <f>'t1'!M6</f>
        <v>0</v>
      </c>
      <c r="L6" s="825" t="s">
        <v>735</v>
      </c>
      <c r="AA6" s="183">
        <v>0</v>
      </c>
      <c r="AB6" s="181">
        <v>0</v>
      </c>
      <c r="AC6" s="181">
        <v>0</v>
      </c>
      <c r="AD6" s="181">
        <v>0</v>
      </c>
      <c r="AE6" s="181">
        <v>0</v>
      </c>
      <c r="AF6" s="181">
        <v>0</v>
      </c>
      <c r="AG6" s="182">
        <v>0</v>
      </c>
      <c r="AH6" s="371">
        <f>(AB6+AC6+AD6+AE6+AF6)-AG6</f>
        <v>0</v>
      </c>
      <c r="AI6" s="3">
        <f>'t1'!AK6</f>
        <v>0</v>
      </c>
    </row>
    <row r="7" spans="1:36" ht="12" customHeight="1" x14ac:dyDescent="0.2">
      <c r="A7" s="129" t="str">
        <f>'t1'!A7</f>
        <v>SEGRETARIO II FASCIA</v>
      </c>
      <c r="B7" s="195" t="str">
        <f>'t1'!B7</f>
        <v>0D0103</v>
      </c>
      <c r="C7" s="183">
        <f>ROUND(AA7,2)</f>
        <v>0</v>
      </c>
      <c r="D7" s="761">
        <f t="shared" ref="D7:I9" si="1">ROUND(AB7,0)</f>
        <v>0</v>
      </c>
      <c r="E7" s="761">
        <f t="shared" si="1"/>
        <v>0</v>
      </c>
      <c r="F7" s="761">
        <f t="shared" si="1"/>
        <v>0</v>
      </c>
      <c r="G7" s="761">
        <f t="shared" si="1"/>
        <v>0</v>
      </c>
      <c r="H7" s="761">
        <f t="shared" si="1"/>
        <v>0</v>
      </c>
      <c r="I7" s="770">
        <f t="shared" si="1"/>
        <v>0</v>
      </c>
      <c r="J7" s="371">
        <f>(D7+E7+F7+G7+H7)-I7</f>
        <v>0</v>
      </c>
      <c r="K7" s="3">
        <f>'t1'!M7</f>
        <v>0</v>
      </c>
      <c r="L7" s="825" t="s">
        <v>735</v>
      </c>
      <c r="AA7" s="183">
        <v>0</v>
      </c>
      <c r="AB7" s="181">
        <v>0</v>
      </c>
      <c r="AC7" s="181">
        <v>0</v>
      </c>
      <c r="AD7" s="181">
        <v>0</v>
      </c>
      <c r="AE7" s="181">
        <v>0</v>
      </c>
      <c r="AF7" s="181">
        <v>0</v>
      </c>
      <c r="AG7" s="182">
        <v>0</v>
      </c>
      <c r="AH7" s="371">
        <f>(AB7+AC7+AD7+AE7+AF7)-AG7</f>
        <v>0</v>
      </c>
      <c r="AI7" s="3">
        <f>'t1'!AK7</f>
        <v>0</v>
      </c>
    </row>
    <row r="8" spans="1:36" ht="12" customHeight="1" x14ac:dyDescent="0.2">
      <c r="A8" s="129" t="str">
        <f>'t1'!A8</f>
        <v>SEGRETARIO III FASCIA</v>
      </c>
      <c r="B8" s="195" t="str">
        <f>'t1'!B8</f>
        <v>0D0485</v>
      </c>
      <c r="C8" s="183">
        <f>ROUND(AA8,2)</f>
        <v>0</v>
      </c>
      <c r="D8" s="761">
        <f t="shared" si="1"/>
        <v>0</v>
      </c>
      <c r="E8" s="761">
        <f t="shared" si="1"/>
        <v>0</v>
      </c>
      <c r="F8" s="761">
        <f t="shared" si="1"/>
        <v>0</v>
      </c>
      <c r="G8" s="761">
        <f t="shared" si="1"/>
        <v>0</v>
      </c>
      <c r="H8" s="761">
        <f t="shared" si="1"/>
        <v>0</v>
      </c>
      <c r="I8" s="770">
        <f t="shared" si="1"/>
        <v>0</v>
      </c>
      <c r="J8" s="371">
        <f>(D8+E8+F8+G8+H8)-I8</f>
        <v>0</v>
      </c>
      <c r="K8" s="3">
        <f>'t1'!M8</f>
        <v>0</v>
      </c>
      <c r="L8" s="825" t="s">
        <v>735</v>
      </c>
      <c r="AA8" s="183">
        <v>0</v>
      </c>
      <c r="AB8" s="181">
        <v>0</v>
      </c>
      <c r="AC8" s="181">
        <v>0</v>
      </c>
      <c r="AD8" s="181">
        <v>0</v>
      </c>
      <c r="AE8" s="181">
        <v>0</v>
      </c>
      <c r="AF8" s="181">
        <v>0</v>
      </c>
      <c r="AG8" s="182">
        <v>0</v>
      </c>
      <c r="AH8" s="371">
        <f>(AB8+AC8+AD8+AE8+AF8)-AG8</f>
        <v>0</v>
      </c>
      <c r="AI8" s="3">
        <f>'t1'!AK8</f>
        <v>0</v>
      </c>
    </row>
    <row r="9" spans="1:36" ht="12" customHeight="1" x14ac:dyDescent="0.2">
      <c r="A9" s="129" t="str">
        <f>'t1'!A9</f>
        <v>DIRIGENTI</v>
      </c>
      <c r="B9" s="195" t="str">
        <f>'t1'!B9</f>
        <v>0D0164</v>
      </c>
      <c r="C9" s="183">
        <f>ROUND(AA9,2)</f>
        <v>1308.3599999999999</v>
      </c>
      <c r="D9" s="761">
        <f t="shared" si="1"/>
        <v>4995190</v>
      </c>
      <c r="E9" s="761">
        <f t="shared" si="1"/>
        <v>15289</v>
      </c>
      <c r="F9" s="761">
        <f t="shared" si="1"/>
        <v>0</v>
      </c>
      <c r="G9" s="761">
        <f t="shared" si="1"/>
        <v>647787</v>
      </c>
      <c r="H9" s="761">
        <f t="shared" si="1"/>
        <v>852869</v>
      </c>
      <c r="I9" s="770">
        <f t="shared" si="1"/>
        <v>13</v>
      </c>
      <c r="J9" s="371">
        <f>(D9+E9+F9+G9+H9)-I9</f>
        <v>6511122</v>
      </c>
      <c r="K9" s="3">
        <f>'t1'!M9</f>
        <v>112</v>
      </c>
      <c r="L9" s="825" t="s">
        <v>735</v>
      </c>
      <c r="AA9" s="183">
        <v>1308.3599999999999</v>
      </c>
      <c r="AB9" s="181">
        <v>4995190</v>
      </c>
      <c r="AC9" s="181">
        <v>15289</v>
      </c>
      <c r="AD9" s="181">
        <v>0</v>
      </c>
      <c r="AE9" s="181">
        <v>647787</v>
      </c>
      <c r="AF9" s="181">
        <v>852869</v>
      </c>
      <c r="AG9" s="182">
        <v>13</v>
      </c>
      <c r="AH9" s="371">
        <f>(AB9+AC9+AD9+AE9+AF9)-AG9</f>
        <v>6511122</v>
      </c>
      <c r="AI9" s="3">
        <f>'t1'!AK9</f>
        <v>112</v>
      </c>
    </row>
    <row r="10" spans="1:36" ht="12" customHeight="1" x14ac:dyDescent="0.2">
      <c r="A10" s="129" t="str">
        <f>'t1'!A10</f>
        <v>POSIZIONE ECONOMICA D</v>
      </c>
      <c r="B10" s="195" t="str">
        <f>'t1'!B10</f>
        <v>047000</v>
      </c>
      <c r="C10" s="183">
        <f t="shared" ref="C10:C25" si="2">ROUND(AA10,2)</f>
        <v>5013.7299999999996</v>
      </c>
      <c r="D10" s="761">
        <f t="shared" ref="D10:D25" si="3">ROUND(AB10,0)</f>
        <v>11578123</v>
      </c>
      <c r="E10" s="761">
        <f t="shared" ref="E10:E25" si="4">ROUND(AC10,0)</f>
        <v>33999</v>
      </c>
      <c r="F10" s="761">
        <f t="shared" ref="F10:F25" si="5">ROUND(AD10,0)</f>
        <v>614698</v>
      </c>
      <c r="G10" s="761">
        <f t="shared" ref="G10:G25" si="6">ROUND(AE10,0)</f>
        <v>1067313</v>
      </c>
      <c r="H10" s="761">
        <f t="shared" ref="H10:H25" si="7">ROUND(AF10,0)</f>
        <v>40832</v>
      </c>
      <c r="I10" s="770">
        <f t="shared" ref="I10:I25" si="8">ROUND(AG10,0)</f>
        <v>4860</v>
      </c>
      <c r="J10" s="371">
        <f t="shared" ref="J10:J25" si="9">(D10+E10+F10+G10+H10)-I10</f>
        <v>13330105</v>
      </c>
      <c r="K10" s="3">
        <f>'t1'!M10</f>
        <v>460</v>
      </c>
      <c r="L10" s="825" t="s">
        <v>332</v>
      </c>
      <c r="AA10" s="183">
        <v>5013.7299999999996</v>
      </c>
      <c r="AB10" s="181">
        <v>11578123</v>
      </c>
      <c r="AC10" s="181">
        <v>33999</v>
      </c>
      <c r="AD10" s="181">
        <v>614698</v>
      </c>
      <c r="AE10" s="181">
        <v>1067313</v>
      </c>
      <c r="AF10" s="181">
        <v>40832</v>
      </c>
      <c r="AG10" s="182">
        <v>4860</v>
      </c>
      <c r="AH10" s="371">
        <f t="shared" ref="AH10:AH25" si="10">(AB10+AC10+AD10+AE10+AF10)-AG10</f>
        <v>13330105</v>
      </c>
      <c r="AI10" s="3">
        <f>'t1'!AK10</f>
        <v>460</v>
      </c>
    </row>
    <row r="11" spans="1:36" ht="12" customHeight="1" x14ac:dyDescent="0.2">
      <c r="A11" s="129" t="str">
        <f>'t1'!A11</f>
        <v>POSIZIONE ECONOMICA D - FORESTALE</v>
      </c>
      <c r="B11" s="195" t="str">
        <f>'t1'!B11</f>
        <v>047FOR</v>
      </c>
      <c r="C11" s="183">
        <f t="shared" si="2"/>
        <v>0</v>
      </c>
      <c r="D11" s="761">
        <f t="shared" si="3"/>
        <v>0</v>
      </c>
      <c r="E11" s="761">
        <f t="shared" si="4"/>
        <v>0</v>
      </c>
      <c r="F11" s="761">
        <f t="shared" si="5"/>
        <v>0</v>
      </c>
      <c r="G11" s="761">
        <f t="shared" si="6"/>
        <v>0</v>
      </c>
      <c r="H11" s="761">
        <f t="shared" si="7"/>
        <v>0</v>
      </c>
      <c r="I11" s="770">
        <f t="shared" si="8"/>
        <v>0</v>
      </c>
      <c r="J11" s="371">
        <f t="shared" si="9"/>
        <v>0</v>
      </c>
      <c r="K11" s="3">
        <f>'t1'!M11</f>
        <v>0</v>
      </c>
      <c r="L11" s="825" t="s">
        <v>298</v>
      </c>
      <c r="AA11" s="183">
        <v>0</v>
      </c>
      <c r="AB11" s="181">
        <v>0</v>
      </c>
      <c r="AC11" s="181">
        <v>0</v>
      </c>
      <c r="AD11" s="181">
        <v>0</v>
      </c>
      <c r="AE11" s="181">
        <v>0</v>
      </c>
      <c r="AF11" s="181">
        <v>0</v>
      </c>
      <c r="AG11" s="182">
        <v>0</v>
      </c>
      <c r="AH11" s="371">
        <f t="shared" si="10"/>
        <v>0</v>
      </c>
      <c r="AI11" s="3">
        <f>'t1'!AK11</f>
        <v>0</v>
      </c>
    </row>
    <row r="12" spans="1:36" ht="12" customHeight="1" x14ac:dyDescent="0.2">
      <c r="A12" s="129" t="str">
        <f>'t1'!A12</f>
        <v>POSIZIONE ECONOMICA D  ISPETTORE ANTINCENDI DIRETTORE-VVFF</v>
      </c>
      <c r="B12" s="195" t="str">
        <f>'t1'!B12</f>
        <v>047IS3</v>
      </c>
      <c r="C12" s="183">
        <f t="shared" si="2"/>
        <v>1</v>
      </c>
      <c r="D12" s="761">
        <f t="shared" si="3"/>
        <v>2356</v>
      </c>
      <c r="E12" s="761">
        <f t="shared" si="4"/>
        <v>0</v>
      </c>
      <c r="F12" s="761">
        <f t="shared" si="5"/>
        <v>173</v>
      </c>
      <c r="G12" s="761">
        <f t="shared" si="6"/>
        <v>354</v>
      </c>
      <c r="H12" s="761">
        <f t="shared" si="7"/>
        <v>6</v>
      </c>
      <c r="I12" s="770">
        <f t="shared" si="8"/>
        <v>1</v>
      </c>
      <c r="J12" s="371">
        <f t="shared" si="9"/>
        <v>2888</v>
      </c>
      <c r="K12" s="3">
        <f>'t1'!M12</f>
        <v>0</v>
      </c>
      <c r="L12" s="825" t="s">
        <v>298</v>
      </c>
      <c r="AA12" s="183">
        <v>1</v>
      </c>
      <c r="AB12" s="181">
        <v>2356</v>
      </c>
      <c r="AC12" s="181">
        <v>0</v>
      </c>
      <c r="AD12" s="181">
        <v>173</v>
      </c>
      <c r="AE12" s="181">
        <v>354</v>
      </c>
      <c r="AF12" s="181">
        <v>6</v>
      </c>
      <c r="AG12" s="182">
        <v>1</v>
      </c>
      <c r="AH12" s="371">
        <f t="shared" si="10"/>
        <v>2888</v>
      </c>
      <c r="AI12" s="3">
        <f>'t1'!AK19</f>
        <v>8</v>
      </c>
    </row>
    <row r="13" spans="1:36" ht="12" customHeight="1" x14ac:dyDescent="0.2">
      <c r="A13" s="129" t="str">
        <f>'t1'!A13</f>
        <v>POSIZIONE ECONOMICA D  ISPETTORE ANTINCENDI  VVFF</v>
      </c>
      <c r="B13" s="195" t="str">
        <f>'t1'!B13</f>
        <v>047IS2</v>
      </c>
      <c r="C13" s="183">
        <f t="shared" si="2"/>
        <v>47</v>
      </c>
      <c r="D13" s="761">
        <f t="shared" si="3"/>
        <v>110715</v>
      </c>
      <c r="E13" s="761">
        <f t="shared" si="4"/>
        <v>0</v>
      </c>
      <c r="F13" s="761">
        <f t="shared" si="5"/>
        <v>8120</v>
      </c>
      <c r="G13" s="761">
        <f t="shared" si="6"/>
        <v>14288</v>
      </c>
      <c r="H13" s="761">
        <f t="shared" si="7"/>
        <v>69</v>
      </c>
      <c r="I13" s="770">
        <f t="shared" si="8"/>
        <v>38</v>
      </c>
      <c r="J13" s="371">
        <f t="shared" si="9"/>
        <v>133154</v>
      </c>
      <c r="K13" s="3">
        <f>'t1'!M13</f>
        <v>5</v>
      </c>
      <c r="L13" s="825" t="s">
        <v>298</v>
      </c>
      <c r="AA13" s="183">
        <v>47</v>
      </c>
      <c r="AB13" s="181">
        <v>110715</v>
      </c>
      <c r="AC13" s="181">
        <v>0</v>
      </c>
      <c r="AD13" s="181">
        <v>8120</v>
      </c>
      <c r="AE13" s="181">
        <v>14288</v>
      </c>
      <c r="AF13" s="181">
        <v>69</v>
      </c>
      <c r="AG13" s="182">
        <v>38</v>
      </c>
      <c r="AH13" s="371">
        <f t="shared" si="10"/>
        <v>133154</v>
      </c>
      <c r="AI13" s="3">
        <f>'t1'!AK20</f>
        <v>31</v>
      </c>
    </row>
    <row r="14" spans="1:36" ht="12" customHeight="1" x14ac:dyDescent="0.2">
      <c r="A14" s="129" t="str">
        <f>'t1'!A14</f>
        <v>POSIZIONE ECONOMICA C2</v>
      </c>
      <c r="B14" s="195" t="str">
        <f>'t1'!B14</f>
        <v>042000</v>
      </c>
      <c r="C14" s="183">
        <f t="shared" si="2"/>
        <v>7829.03</v>
      </c>
      <c r="D14" s="761">
        <f t="shared" si="3"/>
        <v>15961082</v>
      </c>
      <c r="E14" s="761">
        <f t="shared" si="4"/>
        <v>106726</v>
      </c>
      <c r="F14" s="761">
        <f t="shared" si="5"/>
        <v>998479</v>
      </c>
      <c r="G14" s="761">
        <f t="shared" si="6"/>
        <v>1493441</v>
      </c>
      <c r="H14" s="761">
        <f t="shared" si="7"/>
        <v>479</v>
      </c>
      <c r="I14" s="770">
        <f t="shared" si="8"/>
        <v>11902</v>
      </c>
      <c r="J14" s="371">
        <f t="shared" si="9"/>
        <v>18548305</v>
      </c>
      <c r="K14" s="3">
        <f>'t1'!M14</f>
        <v>766</v>
      </c>
      <c r="L14" s="825" t="s">
        <v>298</v>
      </c>
      <c r="AA14" s="183">
        <v>7829.03</v>
      </c>
      <c r="AB14" s="181">
        <v>15961082</v>
      </c>
      <c r="AC14" s="181">
        <v>106726</v>
      </c>
      <c r="AD14" s="181">
        <v>998479</v>
      </c>
      <c r="AE14" s="181">
        <v>1493441</v>
      </c>
      <c r="AF14" s="181">
        <v>479</v>
      </c>
      <c r="AG14" s="182">
        <v>11902</v>
      </c>
      <c r="AH14" s="371">
        <f t="shared" si="10"/>
        <v>18548305</v>
      </c>
      <c r="AI14" s="3">
        <f>'t1'!AK21</f>
        <v>13</v>
      </c>
    </row>
    <row r="15" spans="1:36" ht="12" customHeight="1" x14ac:dyDescent="0.2">
      <c r="A15" s="129" t="str">
        <f>'t1'!A15</f>
        <v>POSIZIONE ECONOMICA C1</v>
      </c>
      <c r="B15" s="195" t="str">
        <f>'t1'!B15</f>
        <v>040000</v>
      </c>
      <c r="C15" s="183">
        <f t="shared" si="2"/>
        <v>301.3</v>
      </c>
      <c r="D15" s="761">
        <f t="shared" si="3"/>
        <v>556420</v>
      </c>
      <c r="E15" s="761">
        <f t="shared" si="4"/>
        <v>4899</v>
      </c>
      <c r="F15" s="761">
        <f t="shared" si="5"/>
        <v>43889</v>
      </c>
      <c r="G15" s="761">
        <f t="shared" si="6"/>
        <v>48354</v>
      </c>
      <c r="H15" s="761">
        <f t="shared" si="7"/>
        <v>0</v>
      </c>
      <c r="I15" s="770">
        <f t="shared" si="8"/>
        <v>414</v>
      </c>
      <c r="J15" s="371">
        <f t="shared" si="9"/>
        <v>653148</v>
      </c>
      <c r="K15" s="3">
        <f>'t1'!M15</f>
        <v>25</v>
      </c>
      <c r="L15" s="825" t="s">
        <v>298</v>
      </c>
      <c r="AA15" s="183">
        <v>301.3</v>
      </c>
      <c r="AB15" s="181">
        <v>556420</v>
      </c>
      <c r="AC15" s="181">
        <v>4899</v>
      </c>
      <c r="AD15" s="181">
        <v>43889</v>
      </c>
      <c r="AE15" s="181">
        <v>48354</v>
      </c>
      <c r="AF15" s="181">
        <v>0</v>
      </c>
      <c r="AG15" s="182">
        <v>414</v>
      </c>
      <c r="AH15" s="371">
        <f t="shared" si="10"/>
        <v>653148</v>
      </c>
      <c r="AI15" s="3">
        <f>'t1'!AK12</f>
        <v>0</v>
      </c>
    </row>
    <row r="16" spans="1:36" ht="12" customHeight="1" x14ac:dyDescent="0.2">
      <c r="A16" s="129" t="str">
        <f>'t1'!A16</f>
        <v>ISPETTORE FORESTALE C21F</v>
      </c>
      <c r="B16" s="195" t="str">
        <f>'t1'!B16</f>
        <v>042324</v>
      </c>
      <c r="C16" s="183">
        <f t="shared" si="2"/>
        <v>215.2</v>
      </c>
      <c r="D16" s="761">
        <f t="shared" si="3"/>
        <v>440160</v>
      </c>
      <c r="E16" s="761">
        <f t="shared" si="4"/>
        <v>3121</v>
      </c>
      <c r="F16" s="761">
        <f t="shared" si="5"/>
        <v>16559</v>
      </c>
      <c r="G16" s="761">
        <f t="shared" si="6"/>
        <v>53555</v>
      </c>
      <c r="H16" s="761">
        <f t="shared" si="7"/>
        <v>1737</v>
      </c>
      <c r="I16" s="770">
        <f t="shared" si="8"/>
        <v>13</v>
      </c>
      <c r="J16" s="371">
        <f t="shared" si="9"/>
        <v>515119</v>
      </c>
      <c r="K16" s="3">
        <f>'t1'!M16</f>
        <v>19</v>
      </c>
      <c r="L16" s="825" t="s">
        <v>298</v>
      </c>
      <c r="AA16" s="183">
        <v>215.2</v>
      </c>
      <c r="AB16" s="181">
        <v>440160</v>
      </c>
      <c r="AC16" s="181">
        <v>3121</v>
      </c>
      <c r="AD16" s="181">
        <v>16559</v>
      </c>
      <c r="AE16" s="181">
        <v>53555</v>
      </c>
      <c r="AF16" s="181">
        <v>1737</v>
      </c>
      <c r="AG16" s="182">
        <v>13</v>
      </c>
      <c r="AH16" s="371">
        <f t="shared" si="10"/>
        <v>515119</v>
      </c>
      <c r="AI16" s="3">
        <f>'t1'!AK13</f>
        <v>5</v>
      </c>
    </row>
    <row r="17" spans="1:35" ht="12" customHeight="1" x14ac:dyDescent="0.2">
      <c r="A17" s="129" t="str">
        <f>'t1'!A17</f>
        <v>SOVRAINTENDENTE C1F</v>
      </c>
      <c r="B17" s="195" t="str">
        <f>'t1'!B17</f>
        <v>040211</v>
      </c>
      <c r="C17" s="183">
        <f t="shared" si="2"/>
        <v>257.37</v>
      </c>
      <c r="D17" s="761">
        <f t="shared" si="3"/>
        <v>475078</v>
      </c>
      <c r="E17" s="761">
        <f t="shared" si="4"/>
        <v>969</v>
      </c>
      <c r="F17" s="761">
        <f t="shared" si="5"/>
        <v>21691</v>
      </c>
      <c r="G17" s="761">
        <f t="shared" si="6"/>
        <v>74528</v>
      </c>
      <c r="H17" s="761">
        <f t="shared" si="7"/>
        <v>1923</v>
      </c>
      <c r="I17" s="770">
        <f t="shared" si="8"/>
        <v>396</v>
      </c>
      <c r="J17" s="371">
        <f t="shared" si="9"/>
        <v>573793</v>
      </c>
      <c r="K17" s="3">
        <f>'t1'!M17</f>
        <v>27</v>
      </c>
      <c r="L17" s="825" t="s">
        <v>298</v>
      </c>
      <c r="AA17" s="183">
        <v>257.37</v>
      </c>
      <c r="AB17" s="181">
        <v>475078</v>
      </c>
      <c r="AC17" s="181">
        <v>969</v>
      </c>
      <c r="AD17" s="181">
        <v>21691</v>
      </c>
      <c r="AE17" s="181">
        <v>74528</v>
      </c>
      <c r="AF17" s="181">
        <v>1923</v>
      </c>
      <c r="AG17" s="182">
        <v>396</v>
      </c>
      <c r="AH17" s="371">
        <f t="shared" si="10"/>
        <v>573793</v>
      </c>
      <c r="AI17" s="3">
        <f>'t1'!AK22</f>
        <v>5</v>
      </c>
    </row>
    <row r="18" spans="1:35" ht="12" customHeight="1" x14ac:dyDescent="0.2">
      <c r="A18" s="129" t="str">
        <f>'t1'!A18</f>
        <v>POSIZIONE ECONOMICA C2  CAPO REPARTO  VVFF</v>
      </c>
      <c r="B18" s="195" t="str">
        <f>'t1'!B18</f>
        <v>042CR1</v>
      </c>
      <c r="C18" s="183">
        <f t="shared" si="2"/>
        <v>133.47</v>
      </c>
      <c r="D18" s="761">
        <f t="shared" si="3"/>
        <v>272778</v>
      </c>
      <c r="E18" s="761">
        <f t="shared" si="4"/>
        <v>0</v>
      </c>
      <c r="F18" s="761">
        <f t="shared" si="5"/>
        <v>8750</v>
      </c>
      <c r="G18" s="761">
        <f t="shared" si="6"/>
        <v>33556</v>
      </c>
      <c r="H18" s="761">
        <f t="shared" si="7"/>
        <v>0</v>
      </c>
      <c r="I18" s="770">
        <f t="shared" si="8"/>
        <v>0</v>
      </c>
      <c r="J18" s="371">
        <f t="shared" si="9"/>
        <v>315084</v>
      </c>
      <c r="K18" s="3">
        <f>'t1'!M18</f>
        <v>11</v>
      </c>
      <c r="L18" s="825" t="s">
        <v>298</v>
      </c>
      <c r="AA18" s="183">
        <v>133.47</v>
      </c>
      <c r="AB18" s="181">
        <v>272778</v>
      </c>
      <c r="AC18" s="181">
        <v>0</v>
      </c>
      <c r="AD18" s="181">
        <v>8750</v>
      </c>
      <c r="AE18" s="181">
        <v>33556</v>
      </c>
      <c r="AF18" s="181">
        <v>0</v>
      </c>
      <c r="AG18" s="182">
        <v>0</v>
      </c>
      <c r="AH18" s="371">
        <f t="shared" si="10"/>
        <v>315084</v>
      </c>
      <c r="AI18" s="3">
        <f>'t1'!AK23</f>
        <v>516</v>
      </c>
    </row>
    <row r="19" spans="1:35" ht="12" customHeight="1" x14ac:dyDescent="0.2">
      <c r="A19" s="129" t="str">
        <f>'t1'!A19</f>
        <v>POSIZIONE ECONOMICA C2  COLLAB. TECNICO ANTINCENDI  VVFF</v>
      </c>
      <c r="B19" s="195" t="str">
        <f>'t1'!B19</f>
        <v>042CA0</v>
      </c>
      <c r="C19" s="183">
        <f t="shared" si="2"/>
        <v>96</v>
      </c>
      <c r="D19" s="761">
        <f t="shared" si="3"/>
        <v>196211</v>
      </c>
      <c r="E19" s="761">
        <f t="shared" si="4"/>
        <v>0</v>
      </c>
      <c r="F19" s="761">
        <f t="shared" si="5"/>
        <v>6910</v>
      </c>
      <c r="G19" s="761">
        <f t="shared" si="6"/>
        <v>23732</v>
      </c>
      <c r="H19" s="761">
        <f t="shared" si="7"/>
        <v>0</v>
      </c>
      <c r="I19" s="770">
        <f t="shared" si="8"/>
        <v>123</v>
      </c>
      <c r="J19" s="371">
        <f t="shared" si="9"/>
        <v>226730</v>
      </c>
      <c r="K19" s="3">
        <f>'t1'!M19</f>
        <v>8</v>
      </c>
      <c r="L19" s="825" t="s">
        <v>298</v>
      </c>
      <c r="AA19" s="183">
        <v>96</v>
      </c>
      <c r="AB19" s="181">
        <v>196211</v>
      </c>
      <c r="AC19" s="181">
        <v>0</v>
      </c>
      <c r="AD19" s="181">
        <v>6910</v>
      </c>
      <c r="AE19" s="181">
        <v>23732</v>
      </c>
      <c r="AF19" s="181">
        <v>0</v>
      </c>
      <c r="AG19" s="182">
        <v>123</v>
      </c>
      <c r="AH19" s="371">
        <f t="shared" si="10"/>
        <v>226730</v>
      </c>
      <c r="AI19" s="3">
        <f>'t1'!AK24</f>
        <v>23</v>
      </c>
    </row>
    <row r="20" spans="1:35" ht="12" customHeight="1" x14ac:dyDescent="0.2">
      <c r="A20" s="129" t="str">
        <f>'t1'!A20</f>
        <v>POSIZIONE ECONOMICA C1  CAPO SQUADRA  VVFF</v>
      </c>
      <c r="B20" s="195" t="str">
        <f>'t1'!B20</f>
        <v>040CS1</v>
      </c>
      <c r="C20" s="183">
        <f t="shared" si="2"/>
        <v>365.87</v>
      </c>
      <c r="D20" s="761">
        <f t="shared" si="3"/>
        <v>675657</v>
      </c>
      <c r="E20" s="761">
        <f t="shared" si="4"/>
        <v>0</v>
      </c>
      <c r="F20" s="761">
        <f t="shared" si="5"/>
        <v>45664</v>
      </c>
      <c r="G20" s="761">
        <f t="shared" si="6"/>
        <v>86209</v>
      </c>
      <c r="H20" s="761">
        <f t="shared" si="7"/>
        <v>0</v>
      </c>
      <c r="I20" s="770">
        <f t="shared" si="8"/>
        <v>29</v>
      </c>
      <c r="J20" s="371">
        <f t="shared" si="9"/>
        <v>807501</v>
      </c>
      <c r="K20" s="3">
        <f>'t1'!M20</f>
        <v>31</v>
      </c>
      <c r="L20" s="825" t="s">
        <v>298</v>
      </c>
      <c r="AA20" s="183">
        <v>365.87</v>
      </c>
      <c r="AB20" s="181">
        <v>675657</v>
      </c>
      <c r="AC20" s="181">
        <v>0</v>
      </c>
      <c r="AD20" s="181">
        <v>45664</v>
      </c>
      <c r="AE20" s="181">
        <v>86209</v>
      </c>
      <c r="AF20" s="181">
        <v>0</v>
      </c>
      <c r="AG20" s="182">
        <v>29</v>
      </c>
      <c r="AH20" s="371">
        <f t="shared" si="10"/>
        <v>807501</v>
      </c>
      <c r="AI20" s="3">
        <f>'t1'!AK25</f>
        <v>41</v>
      </c>
    </row>
    <row r="21" spans="1:35" ht="12" customHeight="1" x14ac:dyDescent="0.2">
      <c r="A21" s="129" t="str">
        <f>'t1'!A21</f>
        <v>POSIZIONE ECONOMICA B3</v>
      </c>
      <c r="B21" s="195" t="str">
        <f>'t1'!B21</f>
        <v>034000</v>
      </c>
      <c r="C21" s="183">
        <f t="shared" si="2"/>
        <v>144.04</v>
      </c>
      <c r="D21" s="761">
        <f t="shared" si="3"/>
        <v>257657</v>
      </c>
      <c r="E21" s="761">
        <f t="shared" si="4"/>
        <v>1554</v>
      </c>
      <c r="F21" s="761">
        <f t="shared" si="5"/>
        <v>19992</v>
      </c>
      <c r="G21" s="761">
        <f t="shared" si="6"/>
        <v>24225</v>
      </c>
      <c r="H21" s="761">
        <f t="shared" si="7"/>
        <v>0</v>
      </c>
      <c r="I21" s="770">
        <f t="shared" si="8"/>
        <v>131</v>
      </c>
      <c r="J21" s="371">
        <f t="shared" si="9"/>
        <v>303297</v>
      </c>
      <c r="K21" s="3">
        <f>'t1'!M21</f>
        <v>13</v>
      </c>
      <c r="L21" s="825" t="s">
        <v>298</v>
      </c>
      <c r="AA21" s="183">
        <v>144.04</v>
      </c>
      <c r="AB21" s="181">
        <v>257657</v>
      </c>
      <c r="AC21" s="181">
        <v>1554</v>
      </c>
      <c r="AD21" s="181">
        <v>19992</v>
      </c>
      <c r="AE21" s="181">
        <v>24225</v>
      </c>
      <c r="AF21" s="181">
        <v>0</v>
      </c>
      <c r="AG21" s="182">
        <v>131</v>
      </c>
      <c r="AH21" s="371">
        <f t="shared" si="10"/>
        <v>303297</v>
      </c>
      <c r="AI21" s="3">
        <f>'t1'!AK26</f>
        <v>24</v>
      </c>
    </row>
    <row r="22" spans="1:35" ht="12" customHeight="1" x14ac:dyDescent="0.2">
      <c r="A22" s="129" t="str">
        <f>'t1'!A22</f>
        <v>POSIZIONE ECONOMICA B2S</v>
      </c>
      <c r="B22" s="195" t="str">
        <f>'t1'!B22</f>
        <v>033000</v>
      </c>
      <c r="C22" s="183">
        <f t="shared" si="2"/>
        <v>58</v>
      </c>
      <c r="D22" s="761">
        <f t="shared" si="3"/>
        <v>102484</v>
      </c>
      <c r="E22" s="761">
        <f t="shared" si="4"/>
        <v>0</v>
      </c>
      <c r="F22" s="761">
        <f t="shared" si="5"/>
        <v>6464</v>
      </c>
      <c r="G22" s="761">
        <f t="shared" si="6"/>
        <v>9079</v>
      </c>
      <c r="H22" s="761">
        <f t="shared" si="7"/>
        <v>0</v>
      </c>
      <c r="I22" s="770">
        <f t="shared" si="8"/>
        <v>2</v>
      </c>
      <c r="J22" s="371">
        <f t="shared" si="9"/>
        <v>118025</v>
      </c>
      <c r="K22" s="3">
        <f>'t1'!M22</f>
        <v>5</v>
      </c>
      <c r="L22" s="825" t="s">
        <v>298</v>
      </c>
      <c r="AA22" s="183">
        <v>58</v>
      </c>
      <c r="AB22" s="181">
        <v>102484</v>
      </c>
      <c r="AC22" s="181">
        <v>0</v>
      </c>
      <c r="AD22" s="181">
        <v>6464</v>
      </c>
      <c r="AE22" s="181">
        <v>9079</v>
      </c>
      <c r="AF22" s="181">
        <v>0</v>
      </c>
      <c r="AG22" s="182">
        <v>2</v>
      </c>
      <c r="AH22" s="371">
        <f t="shared" si="10"/>
        <v>118025</v>
      </c>
      <c r="AI22" s="3">
        <f>'t1'!AK14</f>
        <v>766</v>
      </c>
    </row>
    <row r="23" spans="1:35" ht="12" customHeight="1" x14ac:dyDescent="0.2">
      <c r="A23" s="129" t="str">
        <f>'t1'!A23</f>
        <v>POSIZIONE ECONOMICA B2</v>
      </c>
      <c r="B23" s="195" t="str">
        <f>'t1'!B23</f>
        <v>032000</v>
      </c>
      <c r="C23" s="183">
        <f t="shared" si="2"/>
        <v>6146.83</v>
      </c>
      <c r="D23" s="761">
        <f t="shared" si="3"/>
        <v>10705314</v>
      </c>
      <c r="E23" s="761">
        <f t="shared" si="4"/>
        <v>69781</v>
      </c>
      <c r="F23" s="761">
        <f t="shared" si="5"/>
        <v>723156</v>
      </c>
      <c r="G23" s="761">
        <f t="shared" si="6"/>
        <v>938632</v>
      </c>
      <c r="H23" s="761">
        <f t="shared" si="7"/>
        <v>0</v>
      </c>
      <c r="I23" s="770">
        <f t="shared" si="8"/>
        <v>8163</v>
      </c>
      <c r="J23" s="371">
        <f t="shared" si="9"/>
        <v>12428720</v>
      </c>
      <c r="K23" s="3">
        <f>'t1'!M23</f>
        <v>516</v>
      </c>
      <c r="L23" s="825" t="s">
        <v>298</v>
      </c>
      <c r="AA23" s="183">
        <v>6146.83</v>
      </c>
      <c r="AB23" s="181">
        <v>10705314</v>
      </c>
      <c r="AC23" s="181">
        <v>69781</v>
      </c>
      <c r="AD23" s="181">
        <v>723156</v>
      </c>
      <c r="AE23" s="181">
        <v>938632</v>
      </c>
      <c r="AF23" s="181">
        <v>0</v>
      </c>
      <c r="AG23" s="182">
        <v>8163</v>
      </c>
      <c r="AH23" s="371">
        <f t="shared" si="10"/>
        <v>12428720</v>
      </c>
      <c r="AI23" s="3">
        <f>'t1'!AK15</f>
        <v>25</v>
      </c>
    </row>
    <row r="24" spans="1:35" ht="12" customHeight="1" x14ac:dyDescent="0.2">
      <c r="A24" s="129" t="str">
        <f>'t1'!A24</f>
        <v>POSIZIONE ECONOMICA B1</v>
      </c>
      <c r="B24" s="195" t="str">
        <f>'t1'!B24</f>
        <v>030000</v>
      </c>
      <c r="C24" s="183">
        <f t="shared" si="2"/>
        <v>284.92</v>
      </c>
      <c r="D24" s="761">
        <f t="shared" si="3"/>
        <v>477810</v>
      </c>
      <c r="E24" s="761">
        <f t="shared" si="4"/>
        <v>2827</v>
      </c>
      <c r="F24" s="761">
        <f t="shared" si="5"/>
        <v>34380</v>
      </c>
      <c r="G24" s="761">
        <f t="shared" si="6"/>
        <v>42895</v>
      </c>
      <c r="H24" s="761">
        <f t="shared" si="7"/>
        <v>0</v>
      </c>
      <c r="I24" s="770">
        <f t="shared" si="8"/>
        <v>211</v>
      </c>
      <c r="J24" s="371">
        <f t="shared" si="9"/>
        <v>557701</v>
      </c>
      <c r="K24" s="3">
        <f>'t1'!M24</f>
        <v>23</v>
      </c>
      <c r="L24" s="825" t="s">
        <v>298</v>
      </c>
      <c r="AA24" s="183">
        <v>284.92</v>
      </c>
      <c r="AB24" s="181">
        <v>477810</v>
      </c>
      <c r="AC24" s="181">
        <v>2827</v>
      </c>
      <c r="AD24" s="181">
        <v>34380</v>
      </c>
      <c r="AE24" s="181">
        <v>42895</v>
      </c>
      <c r="AF24" s="181">
        <v>0</v>
      </c>
      <c r="AG24" s="182">
        <v>211</v>
      </c>
      <c r="AH24" s="371">
        <f t="shared" si="10"/>
        <v>557701</v>
      </c>
      <c r="AI24" s="3">
        <f>'t1'!AK16</f>
        <v>19</v>
      </c>
    </row>
    <row r="25" spans="1:35" ht="12" customHeight="1" x14ac:dyDescent="0.2">
      <c r="A25" s="129" t="str">
        <f>'t1'!A25</f>
        <v>POS. EC. B3-GUARDIA  FORESTALE 5 A.</v>
      </c>
      <c r="B25" s="195" t="str">
        <f>'t1'!B25</f>
        <v>034561</v>
      </c>
      <c r="C25" s="183">
        <f t="shared" si="2"/>
        <v>528.09</v>
      </c>
      <c r="D25" s="761">
        <f t="shared" si="3"/>
        <v>944446</v>
      </c>
      <c r="E25" s="761">
        <f t="shared" si="4"/>
        <v>8373</v>
      </c>
      <c r="F25" s="761">
        <f t="shared" si="5"/>
        <v>71498</v>
      </c>
      <c r="G25" s="761">
        <f t="shared" si="6"/>
        <v>114218</v>
      </c>
      <c r="H25" s="761">
        <f t="shared" si="7"/>
        <v>24956</v>
      </c>
      <c r="I25" s="770">
        <f t="shared" si="8"/>
        <v>1127</v>
      </c>
      <c r="J25" s="371">
        <f t="shared" si="9"/>
        <v>1162364</v>
      </c>
      <c r="K25" s="3">
        <f>'t1'!M25</f>
        <v>41</v>
      </c>
      <c r="L25" s="825" t="s">
        <v>736</v>
      </c>
      <c r="AA25" s="183">
        <v>528.09</v>
      </c>
      <c r="AB25" s="181">
        <v>944446</v>
      </c>
      <c r="AC25" s="181">
        <v>8373</v>
      </c>
      <c r="AD25" s="181">
        <v>71498</v>
      </c>
      <c r="AE25" s="181">
        <v>114218</v>
      </c>
      <c r="AF25" s="181">
        <v>24956</v>
      </c>
      <c r="AG25" s="182">
        <v>1127</v>
      </c>
      <c r="AH25" s="371">
        <f t="shared" si="10"/>
        <v>1162364</v>
      </c>
      <c r="AI25" s="3">
        <f>'t1'!AK17</f>
        <v>27</v>
      </c>
    </row>
    <row r="26" spans="1:35" ht="12" customHeight="1" x14ac:dyDescent="0.2">
      <c r="A26" s="129" t="str">
        <f>'t1'!A26</f>
        <v>POS. EC. B2-GUARDIA  FORESTALE</v>
      </c>
      <c r="B26" s="195" t="str">
        <f>'t1'!B26</f>
        <v>032561</v>
      </c>
      <c r="C26" s="183">
        <f t="shared" ref="C26:C33" si="11">ROUND(AA26,2)</f>
        <v>231.14</v>
      </c>
      <c r="D26" s="761">
        <f t="shared" ref="D26:D33" si="12">ROUND(AB26,0)</f>
        <v>403139</v>
      </c>
      <c r="E26" s="761">
        <f t="shared" ref="E26:E33" si="13">ROUND(AC26,0)</f>
        <v>0</v>
      </c>
      <c r="F26" s="761">
        <f t="shared" ref="F26:F33" si="14">ROUND(AD26,0)</f>
        <v>7405</v>
      </c>
      <c r="G26" s="761">
        <f t="shared" ref="G26:G33" si="15">ROUND(AE26,0)</f>
        <v>36576</v>
      </c>
      <c r="H26" s="761">
        <f t="shared" ref="H26:H33" si="16">ROUND(AF26,0)</f>
        <v>0</v>
      </c>
      <c r="I26" s="770">
        <f t="shared" ref="I26:I33" si="17">ROUND(AG26,0)</f>
        <v>87</v>
      </c>
      <c r="J26" s="371">
        <f t="shared" ref="J26:J33" si="18">(D26+E26+F26+G26+H26)-I26</f>
        <v>447033</v>
      </c>
      <c r="K26" s="3">
        <f>'t1'!M26</f>
        <v>24</v>
      </c>
      <c r="L26" s="825" t="s">
        <v>736</v>
      </c>
      <c r="AA26" s="183">
        <v>231.14</v>
      </c>
      <c r="AB26" s="181">
        <v>403139</v>
      </c>
      <c r="AC26" s="181">
        <v>0</v>
      </c>
      <c r="AD26" s="181">
        <v>7405</v>
      </c>
      <c r="AE26" s="181">
        <v>36576</v>
      </c>
      <c r="AF26" s="181">
        <v>0</v>
      </c>
      <c r="AG26" s="182">
        <v>87</v>
      </c>
      <c r="AH26" s="371">
        <f t="shared" ref="AH26:AH33" si="19">(AB26+AC26+AD26+AE26+AF26)-AG26</f>
        <v>447033</v>
      </c>
      <c r="AI26" s="3">
        <f>'t1'!AK27</f>
        <v>0</v>
      </c>
    </row>
    <row r="27" spans="1:35" ht="12" customHeight="1" x14ac:dyDescent="0.2">
      <c r="A27" s="129" t="str">
        <f>'t1'!A27</f>
        <v>POSIZIONE ECONOMICA B1 - FORESTALE</v>
      </c>
      <c r="B27" s="195" t="str">
        <f>'t1'!B27</f>
        <v>030FOR</v>
      </c>
      <c r="C27" s="183">
        <f t="shared" si="11"/>
        <v>0</v>
      </c>
      <c r="D27" s="761">
        <f t="shared" si="12"/>
        <v>0</v>
      </c>
      <c r="E27" s="761">
        <f t="shared" si="13"/>
        <v>0</v>
      </c>
      <c r="F27" s="761">
        <f t="shared" si="14"/>
        <v>0</v>
      </c>
      <c r="G27" s="761">
        <f t="shared" si="15"/>
        <v>0</v>
      </c>
      <c r="H27" s="761">
        <f t="shared" si="16"/>
        <v>0</v>
      </c>
      <c r="I27" s="770">
        <f t="shared" si="17"/>
        <v>0</v>
      </c>
      <c r="J27" s="371">
        <f t="shared" si="18"/>
        <v>0</v>
      </c>
      <c r="K27" s="3">
        <f>'t1'!M27</f>
        <v>0</v>
      </c>
      <c r="L27" s="825" t="s">
        <v>736</v>
      </c>
      <c r="AA27" s="183">
        <v>0</v>
      </c>
      <c r="AB27" s="181">
        <v>0</v>
      </c>
      <c r="AC27" s="181">
        <v>0</v>
      </c>
      <c r="AD27" s="181">
        <v>0</v>
      </c>
      <c r="AE27" s="181">
        <v>0</v>
      </c>
      <c r="AF27" s="181">
        <v>0</v>
      </c>
      <c r="AG27" s="182">
        <v>0</v>
      </c>
      <c r="AH27" s="371">
        <f t="shared" si="19"/>
        <v>0</v>
      </c>
      <c r="AI27" s="3">
        <f>'t1'!AK28</f>
        <v>99</v>
      </c>
    </row>
    <row r="28" spans="1:35" ht="12" customHeight="1" x14ac:dyDescent="0.2">
      <c r="A28" s="129" t="str">
        <f>'t1'!A28</f>
        <v>POSIZIONE ECONOMICA B3  VIGILE DEL FUOCO &gt; 5 ANNI</v>
      </c>
      <c r="B28" s="195" t="str">
        <f>'t1'!B28</f>
        <v>034VF5</v>
      </c>
      <c r="C28" s="183">
        <f t="shared" si="11"/>
        <v>1120.1099999999999</v>
      </c>
      <c r="D28" s="761">
        <f t="shared" si="12"/>
        <v>2002276</v>
      </c>
      <c r="E28" s="761">
        <f t="shared" si="13"/>
        <v>120</v>
      </c>
      <c r="F28" s="761">
        <f t="shared" si="14"/>
        <v>142285</v>
      </c>
      <c r="G28" s="761">
        <f t="shared" si="15"/>
        <v>259995</v>
      </c>
      <c r="H28" s="761">
        <f t="shared" si="16"/>
        <v>0</v>
      </c>
      <c r="I28" s="770">
        <f t="shared" si="17"/>
        <v>0</v>
      </c>
      <c r="J28" s="371">
        <f t="shared" si="18"/>
        <v>2404676</v>
      </c>
      <c r="K28" s="3">
        <f>'t1'!M28</f>
        <v>99</v>
      </c>
      <c r="L28" s="825" t="s">
        <v>736</v>
      </c>
      <c r="AA28" s="183">
        <v>1120.1099999999999</v>
      </c>
      <c r="AB28" s="181">
        <v>2002276</v>
      </c>
      <c r="AC28" s="181">
        <v>120</v>
      </c>
      <c r="AD28" s="181">
        <v>142285</v>
      </c>
      <c r="AE28" s="181">
        <v>259995</v>
      </c>
      <c r="AF28" s="181">
        <v>0</v>
      </c>
      <c r="AG28" s="182">
        <v>0</v>
      </c>
      <c r="AH28" s="371">
        <f t="shared" si="19"/>
        <v>2404676</v>
      </c>
      <c r="AI28" s="3">
        <f>'t1'!AK29</f>
        <v>19</v>
      </c>
    </row>
    <row r="29" spans="1:35" ht="12" customHeight="1" x14ac:dyDescent="0.2">
      <c r="A29" s="129" t="str">
        <f>'t1'!A29</f>
        <v>POSIZIONE ECONOMICA B2  VIGILE DEL FUOCO</v>
      </c>
      <c r="B29" s="195" t="str">
        <f>'t1'!B29</f>
        <v>032VF1</v>
      </c>
      <c r="C29" s="183">
        <f t="shared" si="11"/>
        <v>293.56</v>
      </c>
      <c r="D29" s="761">
        <f t="shared" si="12"/>
        <v>512203</v>
      </c>
      <c r="E29" s="761">
        <f t="shared" si="13"/>
        <v>0</v>
      </c>
      <c r="F29" s="761">
        <f t="shared" si="14"/>
        <v>3930</v>
      </c>
      <c r="G29" s="761">
        <f t="shared" si="15"/>
        <v>43911</v>
      </c>
      <c r="H29" s="761">
        <f t="shared" si="16"/>
        <v>0</v>
      </c>
      <c r="I29" s="770">
        <f t="shared" si="17"/>
        <v>0</v>
      </c>
      <c r="J29" s="371">
        <f t="shared" si="18"/>
        <v>560044</v>
      </c>
      <c r="K29" s="3">
        <f>'t1'!M29</f>
        <v>19</v>
      </c>
      <c r="L29" s="825" t="s">
        <v>736</v>
      </c>
      <c r="AA29" s="183">
        <v>293.56</v>
      </c>
      <c r="AB29" s="181">
        <v>512203</v>
      </c>
      <c r="AC29" s="181">
        <v>0</v>
      </c>
      <c r="AD29" s="181">
        <v>3930</v>
      </c>
      <c r="AE29" s="181">
        <v>43911</v>
      </c>
      <c r="AF29" s="181">
        <v>0</v>
      </c>
      <c r="AG29" s="182">
        <v>0</v>
      </c>
      <c r="AH29" s="371">
        <f t="shared" si="19"/>
        <v>560044</v>
      </c>
      <c r="AI29" s="3">
        <f>'t1'!AK30</f>
        <v>220</v>
      </c>
    </row>
    <row r="30" spans="1:35" ht="12" customHeight="1" x14ac:dyDescent="0.2">
      <c r="A30" s="129" t="str">
        <f>'t1'!A30</f>
        <v>POSIZIONE ECONOMICA A</v>
      </c>
      <c r="B30" s="195" t="str">
        <f>'t1'!B30</f>
        <v>022000</v>
      </c>
      <c r="C30" s="183">
        <f t="shared" si="11"/>
        <v>2530.66</v>
      </c>
      <c r="D30" s="761">
        <f t="shared" si="12"/>
        <v>4002236</v>
      </c>
      <c r="E30" s="761">
        <f t="shared" si="13"/>
        <v>5114</v>
      </c>
      <c r="F30" s="761">
        <f t="shared" si="14"/>
        <v>191861</v>
      </c>
      <c r="G30" s="761">
        <f t="shared" si="15"/>
        <v>349929</v>
      </c>
      <c r="H30" s="761">
        <f t="shared" si="16"/>
        <v>0</v>
      </c>
      <c r="I30" s="770">
        <f t="shared" si="17"/>
        <v>2246</v>
      </c>
      <c r="J30" s="371">
        <f t="shared" si="18"/>
        <v>4546894</v>
      </c>
      <c r="K30" s="3">
        <f>'t1'!M30</f>
        <v>220</v>
      </c>
      <c r="L30" s="825" t="s">
        <v>736</v>
      </c>
      <c r="AA30" s="183">
        <v>2530.66</v>
      </c>
      <c r="AB30" s="181">
        <v>4002236</v>
      </c>
      <c r="AC30" s="181">
        <v>5114</v>
      </c>
      <c r="AD30" s="181">
        <v>191861</v>
      </c>
      <c r="AE30" s="181">
        <v>349929</v>
      </c>
      <c r="AF30" s="181">
        <v>0</v>
      </c>
      <c r="AG30" s="182">
        <v>2246</v>
      </c>
      <c r="AH30" s="371">
        <f t="shared" si="19"/>
        <v>4546894</v>
      </c>
      <c r="AI30" s="3">
        <f>'t1'!AK31</f>
        <v>128</v>
      </c>
    </row>
    <row r="31" spans="1:35" ht="12" customHeight="1" x14ac:dyDescent="0.2">
      <c r="A31" s="129" t="str">
        <f>'t1'!A31</f>
        <v>CONTRATTISTI</v>
      </c>
      <c r="B31" s="195" t="str">
        <f>'t1'!B31</f>
        <v>000061</v>
      </c>
      <c r="C31" s="183">
        <f t="shared" si="11"/>
        <v>1478.4</v>
      </c>
      <c r="D31" s="761">
        <f t="shared" si="12"/>
        <v>2752052</v>
      </c>
      <c r="E31" s="761">
        <f t="shared" si="13"/>
        <v>0</v>
      </c>
      <c r="F31" s="761">
        <f t="shared" si="14"/>
        <v>172651</v>
      </c>
      <c r="G31" s="761">
        <f t="shared" si="15"/>
        <v>468852</v>
      </c>
      <c r="H31" s="761">
        <f t="shared" si="16"/>
        <v>0</v>
      </c>
      <c r="I31" s="770">
        <f t="shared" si="17"/>
        <v>0</v>
      </c>
      <c r="J31" s="371">
        <f t="shared" si="18"/>
        <v>3393555</v>
      </c>
      <c r="K31" s="3">
        <f>'t1'!M31</f>
        <v>128</v>
      </c>
      <c r="L31" s="825" t="s">
        <v>736</v>
      </c>
      <c r="AA31" s="183">
        <f>40+1438.4</f>
        <v>1478.4</v>
      </c>
      <c r="AB31" s="181">
        <f>79651+2672401</f>
        <v>2752052</v>
      </c>
      <c r="AC31" s="181">
        <v>0</v>
      </c>
      <c r="AD31" s="181">
        <v>172651</v>
      </c>
      <c r="AE31" s="181">
        <v>468852</v>
      </c>
      <c r="AF31" s="181">
        <v>0</v>
      </c>
      <c r="AG31" s="182"/>
      <c r="AH31" s="371">
        <f t="shared" si="19"/>
        <v>3393555</v>
      </c>
      <c r="AI31" s="3">
        <f>'t1'!AK18</f>
        <v>11</v>
      </c>
    </row>
    <row r="32" spans="1:35" ht="12" customHeight="1" x14ac:dyDescent="0.2">
      <c r="A32" s="129" t="str">
        <f>'t1'!A32</f>
        <v>SEGRETARIO GENERALE CCIAA</v>
      </c>
      <c r="B32" s="195" t="str">
        <f>'t1'!B32</f>
        <v>0D0104</v>
      </c>
      <c r="C32" s="183">
        <f t="shared" si="11"/>
        <v>0</v>
      </c>
      <c r="D32" s="761">
        <f t="shared" si="12"/>
        <v>0</v>
      </c>
      <c r="E32" s="761">
        <f t="shared" si="13"/>
        <v>0</v>
      </c>
      <c r="F32" s="761">
        <f t="shared" si="14"/>
        <v>0</v>
      </c>
      <c r="G32" s="761">
        <f t="shared" si="15"/>
        <v>0</v>
      </c>
      <c r="H32" s="761">
        <f t="shared" si="16"/>
        <v>0</v>
      </c>
      <c r="I32" s="770">
        <f t="shared" si="17"/>
        <v>0</v>
      </c>
      <c r="J32" s="371">
        <f t="shared" si="18"/>
        <v>0</v>
      </c>
      <c r="K32" s="3">
        <f>'t1'!M32</f>
        <v>0</v>
      </c>
      <c r="L32" s="825" t="s">
        <v>736</v>
      </c>
      <c r="AA32" s="183">
        <v>0</v>
      </c>
      <c r="AB32" s="181">
        <v>0</v>
      </c>
      <c r="AC32" s="181">
        <v>0</v>
      </c>
      <c r="AD32" s="181">
        <v>0</v>
      </c>
      <c r="AE32" s="181">
        <v>0</v>
      </c>
      <c r="AF32" s="181">
        <v>0</v>
      </c>
      <c r="AG32" s="182">
        <v>0</v>
      </c>
      <c r="AH32" s="371">
        <f t="shared" si="19"/>
        <v>0</v>
      </c>
      <c r="AI32" s="3">
        <f>'t1'!AK32</f>
        <v>0</v>
      </c>
    </row>
    <row r="33" spans="1:35" ht="12" customHeight="1" thickBot="1" x14ac:dyDescent="0.25">
      <c r="A33" s="129" t="str">
        <f>'t1'!A33</f>
        <v>COLLABORATORE A TEMPO DETERMINATO</v>
      </c>
      <c r="B33" s="195" t="str">
        <f>'t1'!B33</f>
        <v>000096</v>
      </c>
      <c r="C33" s="183">
        <f t="shared" si="11"/>
        <v>124.64</v>
      </c>
      <c r="D33" s="761">
        <f t="shared" si="12"/>
        <v>578371</v>
      </c>
      <c r="E33" s="761">
        <f t="shared" si="13"/>
        <v>0</v>
      </c>
      <c r="F33" s="761">
        <f t="shared" si="14"/>
        <v>0</v>
      </c>
      <c r="G33" s="761">
        <f t="shared" si="15"/>
        <v>48244</v>
      </c>
      <c r="H33" s="761">
        <f t="shared" si="16"/>
        <v>56097</v>
      </c>
      <c r="I33" s="770">
        <f t="shared" si="17"/>
        <v>0</v>
      </c>
      <c r="J33" s="371">
        <f t="shared" si="18"/>
        <v>682712</v>
      </c>
      <c r="K33" s="3">
        <f>'t1'!M33</f>
        <v>11</v>
      </c>
      <c r="L33" s="825" t="s">
        <v>736</v>
      </c>
      <c r="AA33" s="183">
        <v>124.64</v>
      </c>
      <c r="AB33" s="181">
        <v>578371</v>
      </c>
      <c r="AC33" s="181">
        <v>0</v>
      </c>
      <c r="AD33" s="181">
        <v>0</v>
      </c>
      <c r="AE33" s="181">
        <v>48244</v>
      </c>
      <c r="AF33" s="181">
        <v>56097</v>
      </c>
      <c r="AG33" s="182">
        <v>0</v>
      </c>
      <c r="AH33" s="371">
        <f t="shared" si="19"/>
        <v>682712</v>
      </c>
      <c r="AI33" s="3">
        <f>'t1'!AK33</f>
        <v>11</v>
      </c>
    </row>
    <row r="34" spans="1:35" ht="12" customHeight="1" thickTop="1" thickBot="1" x14ac:dyDescent="0.25">
      <c r="A34" s="101" t="s">
        <v>71</v>
      </c>
      <c r="B34" s="102"/>
      <c r="C34" s="400">
        <f t="shared" ref="C34:J34" si="20">SUM(C6:C33)</f>
        <v>28509</v>
      </c>
      <c r="D34" s="400">
        <f t="shared" si="20"/>
        <v>58001758</v>
      </c>
      <c r="E34" s="400">
        <f t="shared" si="20"/>
        <v>252772</v>
      </c>
      <c r="F34" s="400">
        <f t="shared" si="20"/>
        <v>3138555</v>
      </c>
      <c r="G34" s="400">
        <f t="shared" si="20"/>
        <v>5879673</v>
      </c>
      <c r="H34" s="400">
        <f t="shared" si="20"/>
        <v>978968</v>
      </c>
      <c r="I34" s="400">
        <f t="shared" si="20"/>
        <v>29756</v>
      </c>
      <c r="J34" s="401">
        <f t="shared" si="20"/>
        <v>68221970</v>
      </c>
      <c r="AA34" s="426">
        <f t="shared" ref="AA34:AH34" si="21">SUM(AA6:AA33)</f>
        <v>28508.720000000001</v>
      </c>
      <c r="AB34" s="400">
        <f t="shared" si="21"/>
        <v>58001758</v>
      </c>
      <c r="AC34" s="400">
        <f t="shared" si="21"/>
        <v>252772</v>
      </c>
      <c r="AD34" s="400">
        <f t="shared" si="21"/>
        <v>3138555</v>
      </c>
      <c r="AE34" s="400">
        <f t="shared" si="21"/>
        <v>5879673</v>
      </c>
      <c r="AF34" s="400">
        <f t="shared" si="21"/>
        <v>978968</v>
      </c>
      <c r="AG34" s="400">
        <f t="shared" si="21"/>
        <v>29756</v>
      </c>
      <c r="AH34" s="401">
        <f t="shared" si="21"/>
        <v>68221970</v>
      </c>
    </row>
    <row r="35" spans="1:35" s="30" customFormat="1" x14ac:dyDescent="0.2">
      <c r="A35" s="17" t="str">
        <f>'t1'!$A$35</f>
        <v>(a) personale a tempo indeterminato al quale viene applicato un contratto di lavoro di tipo privatistico (es.:tipografico,chimico,edile,metalmeccanico,portierato, ecc.)</v>
      </c>
      <c r="B35" s="2"/>
      <c r="C35" s="3"/>
      <c r="D35" s="3"/>
      <c r="E35" s="3"/>
      <c r="F35" s="3"/>
      <c r="G35" s="3"/>
      <c r="H35" s="3"/>
      <c r="I35" s="3"/>
      <c r="J35" s="3"/>
      <c r="K35" s="3"/>
      <c r="AA35" s="3"/>
      <c r="AB35" s="3"/>
      <c r="AC35" s="3"/>
      <c r="AD35" s="3"/>
      <c r="AE35" s="3"/>
      <c r="AF35" s="3"/>
      <c r="AG35" s="3"/>
      <c r="AH35" s="3"/>
      <c r="AI35" s="3"/>
    </row>
    <row r="36" spans="1:35" x14ac:dyDescent="0.2">
      <c r="A36" s="17" t="str">
        <f>'t1'!$A$36</f>
        <v>(b) cfr." istruzioni generali e specifiche di comparto" e "glossario"</v>
      </c>
    </row>
    <row r="37" spans="1:35" x14ac:dyDescent="0.2">
      <c r="A37" s="3" t="s">
        <v>179</v>
      </c>
    </row>
    <row r="38" spans="1:35" x14ac:dyDescent="0.2">
      <c r="A38" s="3" t="s">
        <v>180</v>
      </c>
    </row>
  </sheetData>
  <sheetProtection algorithmName="SHA-512" hashValue="B8UNEa2oG/UDB6wlwLCL3IwmVAGdUOs66CDDBhJDZYayCh2rKgBPjTk0HmtAd6RJ33faq0eIuwVtbV3V/qu2Zw==" saltValue="pInZN42K7Db1niwfhqj8sw==" spinCount="100000" sheet="1" formatColumns="0" selectLockedCells="1"/>
  <mergeCells count="2">
    <mergeCell ref="H2:J2"/>
    <mergeCell ref="AF2:AH2"/>
  </mergeCells>
  <phoneticPr fontId="30" type="noConversion"/>
  <conditionalFormatting sqref="A6:J33 AA6:AH33">
    <cfRule type="expression" dxfId="22" priority="1" stopIfTrue="1">
      <formula>$K6&gt;0</formula>
    </cfRule>
  </conditionalFormatting>
  <dataValidations count="2">
    <dataValidation type="decimal" allowBlank="1" showInputMessage="1" showErrorMessage="1" sqref="C6:C33 AA6:AA33">
      <formula1>0</formula1>
      <formula2>99999999</formula2>
    </dataValidation>
    <dataValidation type="whole" allowBlank="1" showInputMessage="1" showErrorMessage="1" errorTitle="ERRORE NEL DATO IMMESSO" error="INSERIRE SOLO NUMERI INTERI" sqref="AB6:AG33">
      <formula1>1</formula1>
      <formula2>999999999999</formula2>
    </dataValidation>
  </dataValidations>
  <printOptions horizontalCentered="1" verticalCentered="1"/>
  <pageMargins left="0" right="0" top="0.19685039370078741" bottom="0.15748031496062992" header="0.19685039370078741" footer="0.15748031496062992"/>
  <pageSetup paperSize="9" scale="90" orientation="landscape" horizontalDpi="300" verticalDpi="4294967292"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0"/>
  <dimension ref="A1:CA39"/>
  <sheetViews>
    <sheetView showGridLines="0" tabSelected="1" zoomScaleNormal="100" zoomScaleSheetLayoutView="100" workbookViewId="0">
      <pane xSplit="2" ySplit="5" topLeftCell="AA6" activePane="bottomRight" state="frozen"/>
      <selection activeCell="A2" sqref="A2"/>
      <selection pane="topRight" activeCell="A2" sqref="A2"/>
      <selection pane="bottomLeft" activeCell="A2" sqref="A2"/>
      <selection pane="bottomRight" activeCell="AS9" sqref="AS9"/>
    </sheetView>
  </sheetViews>
  <sheetFormatPr defaultColWidth="9.33203125" defaultRowHeight="11.25" x14ac:dyDescent="0.2"/>
  <cols>
    <col min="1" max="1" width="44.33203125" style="3" customWidth="1"/>
    <col min="2" max="2" width="7.6640625" style="2" bestFit="1" customWidth="1"/>
    <col min="3" max="3" width="11.5" style="3" hidden="1" customWidth="1"/>
    <col min="4" max="4" width="9.33203125" style="3" hidden="1" customWidth="1"/>
    <col min="5" max="19" width="11.5" style="3" hidden="1" customWidth="1"/>
    <col min="20" max="20" width="12.5" style="3" hidden="1" customWidth="1"/>
    <col min="21" max="24" width="11.5" style="3" hidden="1" customWidth="1"/>
    <col min="25" max="26" width="9.33203125" style="3" hidden="1" customWidth="1"/>
    <col min="27" max="27" width="11.5" style="3" customWidth="1"/>
    <col min="28" max="28" width="10.6640625" style="3" customWidth="1"/>
    <col min="29" max="43" width="11.5" style="3" customWidth="1"/>
    <col min="44" max="44" width="12.5" style="3" customWidth="1"/>
    <col min="45" max="48" width="11.5" style="3" customWidth="1"/>
    <col min="49" max="49" width="9.33203125" style="3" hidden="1" customWidth="1"/>
    <col min="50" max="78" width="9.33203125" style="3"/>
    <col min="79" max="79" width="9.33203125" style="3" hidden="1" customWidth="1"/>
    <col min="80" max="16384" width="9.33203125" style="3"/>
  </cols>
  <sheetData>
    <row r="1" spans="1:79" ht="36" customHeight="1" x14ac:dyDescent="0.2">
      <c r="A1" s="765" t="str">
        <f>'t1'!A1</f>
        <v>REGIONE VALLE D'AOSTA - anno 2024</v>
      </c>
      <c r="B1" s="765"/>
      <c r="C1" s="765"/>
      <c r="D1" s="765"/>
      <c r="E1" s="765"/>
      <c r="F1" s="765"/>
      <c r="G1" s="765"/>
      <c r="H1" s="765"/>
      <c r="I1" s="765"/>
      <c r="J1" s="765"/>
      <c r="K1" s="765"/>
      <c r="L1" s="765"/>
      <c r="M1" s="765"/>
      <c r="N1" s="765"/>
      <c r="O1" s="765"/>
      <c r="P1" s="765"/>
      <c r="Q1" s="765"/>
      <c r="R1" s="765"/>
      <c r="S1" s="765"/>
      <c r="T1" s="765"/>
      <c r="U1" s="765"/>
      <c r="V1" s="765"/>
      <c r="W1" s="765"/>
      <c r="X1" s="270"/>
      <c r="AV1" s="270"/>
    </row>
    <row r="2" spans="1:79" ht="27" customHeight="1" thickBot="1" x14ac:dyDescent="0.25">
      <c r="A2" s="5"/>
      <c r="H2" s="90"/>
      <c r="I2" s="90"/>
      <c r="J2" s="90"/>
      <c r="K2" s="90"/>
      <c r="L2" s="90"/>
      <c r="M2" s="90"/>
      <c r="N2" s="90"/>
      <c r="O2" s="90"/>
      <c r="P2" s="90"/>
      <c r="Q2" s="90"/>
      <c r="R2" s="90"/>
      <c r="S2" s="90"/>
      <c r="T2" s="90"/>
      <c r="U2" s="90"/>
      <c r="V2" s="90"/>
      <c r="W2" s="90"/>
      <c r="X2" s="406"/>
      <c r="AF2" s="90"/>
      <c r="AG2" s="90"/>
      <c r="AH2" s="90"/>
      <c r="AI2" s="90"/>
      <c r="AJ2" s="90"/>
      <c r="AK2" s="90"/>
      <c r="AL2" s="90"/>
      <c r="AM2" s="90"/>
      <c r="AN2" s="90"/>
      <c r="AO2" s="90"/>
      <c r="AP2" s="90"/>
      <c r="AQ2" s="90"/>
      <c r="AR2" s="90"/>
      <c r="AS2" s="90"/>
      <c r="AT2" s="90"/>
      <c r="AU2" s="90"/>
      <c r="AV2" s="406"/>
    </row>
    <row r="3" spans="1:79" customFormat="1" ht="13.5" thickBot="1" x14ac:dyDescent="0.25">
      <c r="A3" s="7"/>
      <c r="B3" s="8"/>
      <c r="C3" s="271" t="s">
        <v>251</v>
      </c>
      <c r="D3" s="11"/>
      <c r="E3" s="11"/>
      <c r="F3" s="11"/>
      <c r="G3" s="84"/>
      <c r="H3" s="84"/>
      <c r="I3" s="84"/>
      <c r="J3" s="84"/>
      <c r="K3" s="84"/>
      <c r="L3" s="84"/>
      <c r="M3" s="84"/>
      <c r="N3" s="84"/>
      <c r="O3" s="84"/>
      <c r="P3" s="84"/>
      <c r="Q3" s="84"/>
      <c r="R3" s="84"/>
      <c r="S3" s="84"/>
      <c r="T3" s="84"/>
      <c r="U3" s="84"/>
      <c r="V3" s="84"/>
      <c r="W3" s="84"/>
      <c r="X3" s="88"/>
      <c r="AA3" s="271" t="s">
        <v>251</v>
      </c>
      <c r="AB3" s="11"/>
      <c r="AC3" s="11"/>
      <c r="AD3" s="11"/>
      <c r="AE3" s="84"/>
      <c r="AF3" s="84"/>
      <c r="AG3" s="84"/>
      <c r="AH3" s="84"/>
      <c r="AI3" s="84"/>
      <c r="AJ3" s="84"/>
      <c r="AK3" s="84"/>
      <c r="AL3" s="84"/>
      <c r="AM3" s="84"/>
      <c r="AN3" s="84"/>
      <c r="AO3" s="84"/>
      <c r="AP3" s="84"/>
      <c r="AQ3" s="84"/>
      <c r="AR3" s="84"/>
      <c r="AS3" s="84"/>
      <c r="AT3" s="84"/>
      <c r="AU3" s="84"/>
      <c r="AV3" s="88"/>
    </row>
    <row r="4" spans="1:79" ht="48" customHeight="1" thickTop="1" x14ac:dyDescent="0.2">
      <c r="A4" s="18" t="s">
        <v>140</v>
      </c>
      <c r="B4" s="739" t="s">
        <v>68</v>
      </c>
      <c r="C4" s="407" t="s">
        <v>455</v>
      </c>
      <c r="D4" s="407" t="s">
        <v>456</v>
      </c>
      <c r="E4" s="407" t="s">
        <v>326</v>
      </c>
      <c r="F4" s="407" t="s">
        <v>11</v>
      </c>
      <c r="G4" s="535" t="s">
        <v>12</v>
      </c>
      <c r="H4" s="535" t="s">
        <v>522</v>
      </c>
      <c r="I4" s="535" t="s">
        <v>523</v>
      </c>
      <c r="J4" s="535" t="s">
        <v>918</v>
      </c>
      <c r="K4" s="535" t="s">
        <v>646</v>
      </c>
      <c r="L4" s="535" t="s">
        <v>530</v>
      </c>
      <c r="M4" s="408" t="s">
        <v>532</v>
      </c>
      <c r="N4" s="408" t="s">
        <v>457</v>
      </c>
      <c r="O4" s="551" t="s">
        <v>409</v>
      </c>
      <c r="P4" s="535" t="s">
        <v>458</v>
      </c>
      <c r="Q4" s="535" t="s">
        <v>526</v>
      </c>
      <c r="R4" s="535" t="s">
        <v>923</v>
      </c>
      <c r="S4" s="535" t="s">
        <v>534</v>
      </c>
      <c r="T4" s="535" t="s">
        <v>535</v>
      </c>
      <c r="U4" s="535" t="s">
        <v>327</v>
      </c>
      <c r="V4" s="408" t="s">
        <v>393</v>
      </c>
      <c r="W4" s="535" t="s">
        <v>328</v>
      </c>
      <c r="X4" s="98" t="s">
        <v>151</v>
      </c>
      <c r="AA4" s="407" t="s">
        <v>455</v>
      </c>
      <c r="AB4" s="407" t="s">
        <v>456</v>
      </c>
      <c r="AC4" s="407" t="s">
        <v>326</v>
      </c>
      <c r="AD4" s="407" t="s">
        <v>11</v>
      </c>
      <c r="AE4" s="535" t="s">
        <v>12</v>
      </c>
      <c r="AF4" s="535" t="s">
        <v>522</v>
      </c>
      <c r="AG4" s="535" t="s">
        <v>523</v>
      </c>
      <c r="AH4" s="535" t="s">
        <v>918</v>
      </c>
      <c r="AI4" s="535" t="s">
        <v>646</v>
      </c>
      <c r="AJ4" s="535" t="s">
        <v>861</v>
      </c>
      <c r="AK4" s="408" t="s">
        <v>532</v>
      </c>
      <c r="AL4" s="408" t="s">
        <v>457</v>
      </c>
      <c r="AM4" s="551" t="s">
        <v>409</v>
      </c>
      <c r="AN4" s="535" t="s">
        <v>859</v>
      </c>
      <c r="AO4" s="535" t="s">
        <v>860</v>
      </c>
      <c r="AP4" s="535" t="s">
        <v>923</v>
      </c>
      <c r="AQ4" s="535" t="s">
        <v>534</v>
      </c>
      <c r="AR4" s="535" t="s">
        <v>535</v>
      </c>
      <c r="AS4" s="535" t="s">
        <v>327</v>
      </c>
      <c r="AT4" s="408" t="s">
        <v>393</v>
      </c>
      <c r="AU4" s="535" t="s">
        <v>328</v>
      </c>
      <c r="AV4" s="98" t="s">
        <v>151</v>
      </c>
      <c r="CA4" s="886" t="s">
        <v>930</v>
      </c>
    </row>
    <row r="5" spans="1:79" ht="14.25" customHeight="1" thickBot="1" x14ac:dyDescent="0.25">
      <c r="A5" s="738" t="s">
        <v>635</v>
      </c>
      <c r="B5" s="99"/>
      <c r="C5" s="409" t="s">
        <v>368</v>
      </c>
      <c r="D5" s="409" t="s">
        <v>329</v>
      </c>
      <c r="E5" s="409" t="s">
        <v>330</v>
      </c>
      <c r="F5" s="409" t="s">
        <v>288</v>
      </c>
      <c r="G5" s="409" t="s">
        <v>289</v>
      </c>
      <c r="H5" s="409" t="s">
        <v>524</v>
      </c>
      <c r="I5" s="409" t="s">
        <v>525</v>
      </c>
      <c r="J5" s="409" t="s">
        <v>919</v>
      </c>
      <c r="K5" s="409" t="s">
        <v>647</v>
      </c>
      <c r="L5" s="410" t="s">
        <v>529</v>
      </c>
      <c r="M5" s="410" t="s">
        <v>531</v>
      </c>
      <c r="N5" s="410" t="s">
        <v>290</v>
      </c>
      <c r="O5" s="410" t="s">
        <v>408</v>
      </c>
      <c r="P5" s="410" t="s">
        <v>331</v>
      </c>
      <c r="Q5" s="410" t="s">
        <v>431</v>
      </c>
      <c r="R5" s="410" t="s">
        <v>920</v>
      </c>
      <c r="S5" s="410" t="s">
        <v>533</v>
      </c>
      <c r="T5" s="410" t="s">
        <v>536</v>
      </c>
      <c r="U5" s="410" t="s">
        <v>291</v>
      </c>
      <c r="V5" s="410" t="s">
        <v>292</v>
      </c>
      <c r="W5" s="410" t="s">
        <v>293</v>
      </c>
      <c r="X5" s="100" t="s">
        <v>105</v>
      </c>
      <c r="AA5" s="409" t="s">
        <v>368</v>
      </c>
      <c r="AB5" s="409" t="s">
        <v>329</v>
      </c>
      <c r="AC5" s="409" t="s">
        <v>330</v>
      </c>
      <c r="AD5" s="409" t="s">
        <v>288</v>
      </c>
      <c r="AE5" s="409" t="s">
        <v>289</v>
      </c>
      <c r="AF5" s="409" t="s">
        <v>524</v>
      </c>
      <c r="AG5" s="409" t="s">
        <v>525</v>
      </c>
      <c r="AH5" s="409" t="s">
        <v>919</v>
      </c>
      <c r="AI5" s="409" t="s">
        <v>647</v>
      </c>
      <c r="AJ5" s="410" t="s">
        <v>529</v>
      </c>
      <c r="AK5" s="410" t="s">
        <v>531</v>
      </c>
      <c r="AL5" s="410" t="s">
        <v>290</v>
      </c>
      <c r="AM5" s="410" t="s">
        <v>408</v>
      </c>
      <c r="AN5" s="410" t="s">
        <v>331</v>
      </c>
      <c r="AO5" s="410" t="s">
        <v>431</v>
      </c>
      <c r="AP5" s="410" t="s">
        <v>920</v>
      </c>
      <c r="AQ5" s="410" t="s">
        <v>533</v>
      </c>
      <c r="AR5" s="410" t="s">
        <v>536</v>
      </c>
      <c r="AS5" s="410" t="s">
        <v>291</v>
      </c>
      <c r="AT5" s="410" t="s">
        <v>292</v>
      </c>
      <c r="AU5" s="410" t="s">
        <v>293</v>
      </c>
      <c r="AV5" s="100" t="s">
        <v>105</v>
      </c>
    </row>
    <row r="6" spans="1:79" ht="12.75" customHeight="1" thickTop="1" x14ac:dyDescent="0.2">
      <c r="A6" s="129" t="str">
        <f>'t1'!A6</f>
        <v>SEGRETARIO I FASCIA</v>
      </c>
      <c r="B6" s="195" t="str">
        <f>'t1'!B6</f>
        <v>0D0102</v>
      </c>
      <c r="C6" s="771">
        <f t="shared" ref="C6:W6" si="0">ROUND(AA6,0)</f>
        <v>0</v>
      </c>
      <c r="D6" s="771">
        <f t="shared" si="0"/>
        <v>0</v>
      </c>
      <c r="E6" s="771">
        <f t="shared" si="0"/>
        <v>0</v>
      </c>
      <c r="F6" s="761">
        <f t="shared" si="0"/>
        <v>0</v>
      </c>
      <c r="G6" s="772">
        <f t="shared" si="0"/>
        <v>0</v>
      </c>
      <c r="H6" s="772">
        <f t="shared" si="0"/>
        <v>0</v>
      </c>
      <c r="I6" s="772">
        <f t="shared" si="0"/>
        <v>0</v>
      </c>
      <c r="J6" s="772">
        <f t="shared" si="0"/>
        <v>0</v>
      </c>
      <c r="K6" s="772">
        <f t="shared" si="0"/>
        <v>0</v>
      </c>
      <c r="L6" s="772">
        <f t="shared" si="0"/>
        <v>0</v>
      </c>
      <c r="M6" s="772">
        <f t="shared" si="0"/>
        <v>0</v>
      </c>
      <c r="N6" s="772">
        <f t="shared" si="0"/>
        <v>0</v>
      </c>
      <c r="O6" s="772">
        <f t="shared" si="0"/>
        <v>0</v>
      </c>
      <c r="P6" s="772">
        <f t="shared" si="0"/>
        <v>0</v>
      </c>
      <c r="Q6" s="772">
        <f t="shared" si="0"/>
        <v>0</v>
      </c>
      <c r="R6" s="772">
        <f t="shared" si="0"/>
        <v>0</v>
      </c>
      <c r="S6" s="772">
        <f t="shared" si="0"/>
        <v>0</v>
      </c>
      <c r="T6" s="772">
        <f t="shared" si="0"/>
        <v>0</v>
      </c>
      <c r="U6" s="772">
        <f t="shared" si="0"/>
        <v>0</v>
      </c>
      <c r="V6" s="772">
        <f t="shared" si="0"/>
        <v>0</v>
      </c>
      <c r="W6" s="772">
        <f t="shared" si="0"/>
        <v>0</v>
      </c>
      <c r="X6" s="403">
        <f t="shared" ref="X6:X33" si="1">SUM(C6:W6)</f>
        <v>0</v>
      </c>
      <c r="Y6" s="3">
        <f>'t1'!M6</f>
        <v>0</v>
      </c>
      <c r="AA6" s="184">
        <v>0</v>
      </c>
      <c r="AB6" s="184">
        <v>0</v>
      </c>
      <c r="AC6" s="184">
        <v>0</v>
      </c>
      <c r="AD6" s="181">
        <v>0</v>
      </c>
      <c r="AE6" s="185">
        <v>0</v>
      </c>
      <c r="AF6" s="185">
        <v>0</v>
      </c>
      <c r="AG6" s="185">
        <v>0</v>
      </c>
      <c r="AH6" s="185">
        <v>0</v>
      </c>
      <c r="AI6" s="185">
        <v>0</v>
      </c>
      <c r="AJ6" s="185">
        <v>0</v>
      </c>
      <c r="AK6" s="185">
        <v>0</v>
      </c>
      <c r="AL6" s="185">
        <v>0</v>
      </c>
      <c r="AM6" s="185">
        <v>0</v>
      </c>
      <c r="AN6" s="185">
        <v>0</v>
      </c>
      <c r="AO6" s="185">
        <v>0</v>
      </c>
      <c r="AP6" s="185">
        <v>0</v>
      </c>
      <c r="AQ6" s="185">
        <v>0</v>
      </c>
      <c r="AR6" s="185">
        <v>0</v>
      </c>
      <c r="AS6" s="185">
        <v>0</v>
      </c>
      <c r="AT6" s="185">
        <v>0</v>
      </c>
      <c r="AU6" s="185">
        <v>0</v>
      </c>
      <c r="AV6" s="403">
        <f t="shared" ref="AV6:AV33" si="2">SUM(AA6:AU6)</f>
        <v>0</v>
      </c>
      <c r="AW6" s="3">
        <f>'t1'!AR6</f>
        <v>0</v>
      </c>
      <c r="CA6" s="887" t="s">
        <v>736</v>
      </c>
    </row>
    <row r="7" spans="1:79" ht="12.75" customHeight="1" x14ac:dyDescent="0.2">
      <c r="A7" s="129" t="str">
        <f>'t1'!A7</f>
        <v>SEGRETARIO II FASCIA</v>
      </c>
      <c r="B7" s="195" t="str">
        <f>'t1'!B7</f>
        <v>0D0103</v>
      </c>
      <c r="C7" s="771">
        <f t="shared" ref="C7:G9" si="3">ROUND(AA7,0)</f>
        <v>0</v>
      </c>
      <c r="D7" s="771">
        <f t="shared" si="3"/>
        <v>0</v>
      </c>
      <c r="E7" s="771">
        <f t="shared" si="3"/>
        <v>0</v>
      </c>
      <c r="F7" s="761">
        <f t="shared" si="3"/>
        <v>0</v>
      </c>
      <c r="G7" s="772">
        <f t="shared" si="3"/>
        <v>0</v>
      </c>
      <c r="H7" s="772">
        <f t="shared" ref="H7:L9" si="4">ROUND(AF7,0)</f>
        <v>0</v>
      </c>
      <c r="I7" s="772">
        <f t="shared" si="4"/>
        <v>0</v>
      </c>
      <c r="J7" s="772">
        <f t="shared" si="4"/>
        <v>0</v>
      </c>
      <c r="K7" s="772">
        <f t="shared" si="4"/>
        <v>0</v>
      </c>
      <c r="L7" s="772">
        <f t="shared" si="4"/>
        <v>0</v>
      </c>
      <c r="M7" s="772">
        <f t="shared" ref="M7:V9" si="5">ROUND(AK7,0)</f>
        <v>0</v>
      </c>
      <c r="N7" s="772">
        <f t="shared" si="5"/>
        <v>0</v>
      </c>
      <c r="O7" s="772">
        <f t="shared" si="5"/>
        <v>0</v>
      </c>
      <c r="P7" s="772">
        <f t="shared" si="5"/>
        <v>0</v>
      </c>
      <c r="Q7" s="772">
        <f t="shared" si="5"/>
        <v>0</v>
      </c>
      <c r="R7" s="772">
        <f t="shared" si="5"/>
        <v>0</v>
      </c>
      <c r="S7" s="772">
        <f t="shared" si="5"/>
        <v>0</v>
      </c>
      <c r="T7" s="772">
        <f t="shared" si="5"/>
        <v>0</v>
      </c>
      <c r="U7" s="772">
        <f t="shared" si="5"/>
        <v>0</v>
      </c>
      <c r="V7" s="772">
        <f t="shared" si="5"/>
        <v>0</v>
      </c>
      <c r="W7" s="772">
        <f>ROUND(AU7,0)</f>
        <v>0</v>
      </c>
      <c r="X7" s="403">
        <f t="shared" si="1"/>
        <v>0</v>
      </c>
      <c r="Y7" s="3">
        <f>'t1'!M7</f>
        <v>0</v>
      </c>
      <c r="AA7" s="184">
        <v>0</v>
      </c>
      <c r="AB7" s="184">
        <v>0</v>
      </c>
      <c r="AC7" s="184">
        <v>0</v>
      </c>
      <c r="AD7" s="181">
        <v>0</v>
      </c>
      <c r="AE7" s="185">
        <v>0</v>
      </c>
      <c r="AF7" s="185">
        <v>0</v>
      </c>
      <c r="AG7" s="185">
        <v>0</v>
      </c>
      <c r="AH7" s="185">
        <v>0</v>
      </c>
      <c r="AI7" s="185">
        <v>0</v>
      </c>
      <c r="AJ7" s="185">
        <v>0</v>
      </c>
      <c r="AK7" s="185">
        <v>0</v>
      </c>
      <c r="AL7" s="185">
        <v>0</v>
      </c>
      <c r="AM7" s="185">
        <v>0</v>
      </c>
      <c r="AN7" s="185">
        <v>0</v>
      </c>
      <c r="AO7" s="185">
        <v>0</v>
      </c>
      <c r="AP7" s="185">
        <v>0</v>
      </c>
      <c r="AQ7" s="185">
        <v>0</v>
      </c>
      <c r="AR7" s="185">
        <v>0</v>
      </c>
      <c r="AS7" s="185">
        <v>0</v>
      </c>
      <c r="AT7" s="185">
        <v>0</v>
      </c>
      <c r="AU7" s="185">
        <v>0</v>
      </c>
      <c r="AV7" s="403">
        <f t="shared" si="2"/>
        <v>0</v>
      </c>
      <c r="AW7" s="3">
        <f>'t1'!AR7</f>
        <v>0</v>
      </c>
      <c r="CA7" s="887" t="s">
        <v>735</v>
      </c>
    </row>
    <row r="8" spans="1:79" ht="12.75" customHeight="1" x14ac:dyDescent="0.2">
      <c r="A8" s="129" t="str">
        <f>'t1'!A8</f>
        <v>SEGRETARIO III FASCIA</v>
      </c>
      <c r="B8" s="195" t="str">
        <f>'t1'!B8</f>
        <v>0D0485</v>
      </c>
      <c r="C8" s="771">
        <f t="shared" si="3"/>
        <v>0</v>
      </c>
      <c r="D8" s="771">
        <f t="shared" si="3"/>
        <v>0</v>
      </c>
      <c r="E8" s="771">
        <f t="shared" si="3"/>
        <v>0</v>
      </c>
      <c r="F8" s="761">
        <f t="shared" si="3"/>
        <v>0</v>
      </c>
      <c r="G8" s="772">
        <f t="shared" si="3"/>
        <v>0</v>
      </c>
      <c r="H8" s="772">
        <f t="shared" si="4"/>
        <v>0</v>
      </c>
      <c r="I8" s="772">
        <f t="shared" si="4"/>
        <v>0</v>
      </c>
      <c r="J8" s="772">
        <f t="shared" si="4"/>
        <v>0</v>
      </c>
      <c r="K8" s="772">
        <f t="shared" si="4"/>
        <v>0</v>
      </c>
      <c r="L8" s="772">
        <f t="shared" si="4"/>
        <v>0</v>
      </c>
      <c r="M8" s="772">
        <f t="shared" si="5"/>
        <v>0</v>
      </c>
      <c r="N8" s="772">
        <f t="shared" si="5"/>
        <v>0</v>
      </c>
      <c r="O8" s="772">
        <f t="shared" si="5"/>
        <v>0</v>
      </c>
      <c r="P8" s="772">
        <f t="shared" si="5"/>
        <v>0</v>
      </c>
      <c r="Q8" s="772">
        <f t="shared" si="5"/>
        <v>0</v>
      </c>
      <c r="R8" s="772">
        <f t="shared" si="5"/>
        <v>0</v>
      </c>
      <c r="S8" s="772">
        <f t="shared" si="5"/>
        <v>0</v>
      </c>
      <c r="T8" s="772">
        <f t="shared" si="5"/>
        <v>0</v>
      </c>
      <c r="U8" s="772">
        <f t="shared" si="5"/>
        <v>0</v>
      </c>
      <c r="V8" s="772">
        <f t="shared" si="5"/>
        <v>0</v>
      </c>
      <c r="W8" s="772">
        <f>ROUND(AU8,0)</f>
        <v>0</v>
      </c>
      <c r="X8" s="403">
        <f t="shared" si="1"/>
        <v>0</v>
      </c>
      <c r="Y8" s="3">
        <f>'t1'!M8</f>
        <v>0</v>
      </c>
      <c r="AA8" s="184">
        <v>0</v>
      </c>
      <c r="AB8" s="184">
        <v>0</v>
      </c>
      <c r="AC8" s="184">
        <v>0</v>
      </c>
      <c r="AD8" s="181">
        <v>0</v>
      </c>
      <c r="AE8" s="185">
        <v>0</v>
      </c>
      <c r="AF8" s="185">
        <v>0</v>
      </c>
      <c r="AG8" s="185">
        <v>0</v>
      </c>
      <c r="AH8" s="185">
        <v>0</v>
      </c>
      <c r="AI8" s="185">
        <v>0</v>
      </c>
      <c r="AJ8" s="185">
        <v>0</v>
      </c>
      <c r="AK8" s="185">
        <v>0</v>
      </c>
      <c r="AL8" s="185">
        <v>0</v>
      </c>
      <c r="AM8" s="185">
        <v>0</v>
      </c>
      <c r="AN8" s="185">
        <v>0</v>
      </c>
      <c r="AO8" s="185">
        <v>0</v>
      </c>
      <c r="AP8" s="185">
        <v>0</v>
      </c>
      <c r="AQ8" s="185">
        <v>0</v>
      </c>
      <c r="AR8" s="185">
        <v>0</v>
      </c>
      <c r="AS8" s="185">
        <v>0</v>
      </c>
      <c r="AT8" s="185">
        <v>0</v>
      </c>
      <c r="AU8" s="185">
        <v>0</v>
      </c>
      <c r="AV8" s="403">
        <f t="shared" si="2"/>
        <v>0</v>
      </c>
      <c r="AW8" s="3">
        <f>'t1'!AR8</f>
        <v>0</v>
      </c>
      <c r="CA8" s="887" t="s">
        <v>735</v>
      </c>
    </row>
    <row r="9" spans="1:79" ht="12.75" customHeight="1" x14ac:dyDescent="0.2">
      <c r="A9" s="129" t="str">
        <f>'t1'!A9</f>
        <v>DIRIGENTI</v>
      </c>
      <c r="B9" s="195" t="str">
        <f>'t1'!B9</f>
        <v>0D0164</v>
      </c>
      <c r="C9" s="771">
        <f t="shared" si="3"/>
        <v>0</v>
      </c>
      <c r="D9" s="771">
        <f t="shared" si="3"/>
        <v>0</v>
      </c>
      <c r="E9" s="771">
        <f t="shared" si="3"/>
        <v>0</v>
      </c>
      <c r="F9" s="761">
        <f t="shared" si="3"/>
        <v>2808126</v>
      </c>
      <c r="G9" s="772">
        <f t="shared" si="3"/>
        <v>630092</v>
      </c>
      <c r="H9" s="772">
        <f t="shared" si="4"/>
        <v>280172</v>
      </c>
      <c r="I9" s="772">
        <f t="shared" si="4"/>
        <v>0</v>
      </c>
      <c r="J9" s="772">
        <f t="shared" si="4"/>
        <v>0</v>
      </c>
      <c r="K9" s="772">
        <f t="shared" si="4"/>
        <v>0</v>
      </c>
      <c r="L9" s="772">
        <f t="shared" si="4"/>
        <v>3901</v>
      </c>
      <c r="M9" s="772">
        <f t="shared" si="5"/>
        <v>0</v>
      </c>
      <c r="N9" s="772">
        <f t="shared" si="5"/>
        <v>0</v>
      </c>
      <c r="O9" s="772">
        <f t="shared" si="5"/>
        <v>0</v>
      </c>
      <c r="P9" s="772">
        <f t="shared" si="5"/>
        <v>0</v>
      </c>
      <c r="Q9" s="772">
        <f t="shared" si="5"/>
        <v>18541</v>
      </c>
      <c r="R9" s="772">
        <f t="shared" si="5"/>
        <v>0</v>
      </c>
      <c r="S9" s="772">
        <f t="shared" si="5"/>
        <v>8770</v>
      </c>
      <c r="T9" s="772">
        <f t="shared" si="5"/>
        <v>0</v>
      </c>
      <c r="U9" s="772">
        <f t="shared" si="5"/>
        <v>171893</v>
      </c>
      <c r="V9" s="772">
        <f t="shared" si="5"/>
        <v>92974</v>
      </c>
      <c r="W9" s="772">
        <f>ROUND(AU9,0)</f>
        <v>37</v>
      </c>
      <c r="X9" s="403">
        <f t="shared" si="1"/>
        <v>4014506</v>
      </c>
      <c r="Y9" s="3">
        <f>'t1'!M9</f>
        <v>112</v>
      </c>
      <c r="AA9" s="184">
        <v>0</v>
      </c>
      <c r="AB9" s="184">
        <v>0</v>
      </c>
      <c r="AC9" s="184">
        <v>0</v>
      </c>
      <c r="AD9" s="181">
        <v>2808126</v>
      </c>
      <c r="AE9" s="185">
        <v>630092</v>
      </c>
      <c r="AF9" s="185">
        <v>280172</v>
      </c>
      <c r="AG9" s="185">
        <v>0</v>
      </c>
      <c r="AH9" s="185">
        <v>0</v>
      </c>
      <c r="AI9" s="185">
        <v>0</v>
      </c>
      <c r="AJ9" s="185">
        <v>3901</v>
      </c>
      <c r="AK9" s="185">
        <v>0</v>
      </c>
      <c r="AL9" s="185">
        <v>0</v>
      </c>
      <c r="AM9" s="185">
        <v>0</v>
      </c>
      <c r="AN9" s="185">
        <v>0</v>
      </c>
      <c r="AO9" s="185">
        <v>18541</v>
      </c>
      <c r="AP9" s="185">
        <v>0</v>
      </c>
      <c r="AQ9" s="185">
        <v>8770</v>
      </c>
      <c r="AR9" s="185">
        <v>0</v>
      </c>
      <c r="AS9" s="185">
        <v>171893</v>
      </c>
      <c r="AT9" s="185">
        <v>92974</v>
      </c>
      <c r="AU9" s="185">
        <v>37</v>
      </c>
      <c r="AV9" s="403">
        <f t="shared" si="2"/>
        <v>4014506</v>
      </c>
      <c r="AW9" s="3">
        <f>'t1'!AR9</f>
        <v>0</v>
      </c>
      <c r="CA9" s="887" t="s">
        <v>735</v>
      </c>
    </row>
    <row r="10" spans="1:79" ht="12.75" customHeight="1" x14ac:dyDescent="0.2">
      <c r="A10" s="129" t="str">
        <f>'t1'!A10</f>
        <v>POSIZIONE ECONOMICA D</v>
      </c>
      <c r="B10" s="195" t="str">
        <f>'t1'!B10</f>
        <v>047000</v>
      </c>
      <c r="C10" s="771">
        <f t="shared" ref="C10:C25" si="6">ROUND(AA10,0)</f>
        <v>0</v>
      </c>
      <c r="D10" s="771">
        <f t="shared" ref="D10:D25" si="7">ROUND(AB10,0)</f>
        <v>0</v>
      </c>
      <c r="E10" s="771">
        <f t="shared" ref="E10:E25" si="8">ROUND(AC10,0)</f>
        <v>0</v>
      </c>
      <c r="F10" s="761">
        <f t="shared" ref="F10:F25" si="9">ROUND(AD10,0)</f>
        <v>472981</v>
      </c>
      <c r="G10" s="772">
        <f t="shared" ref="G10:G25" si="10">ROUND(AE10,0)</f>
        <v>129799</v>
      </c>
      <c r="H10" s="772">
        <f t="shared" ref="H10:H25" si="11">ROUND(AF10,0)</f>
        <v>1112840</v>
      </c>
      <c r="I10" s="772">
        <f t="shared" ref="I10:I25" si="12">ROUND(AG10,0)</f>
        <v>0</v>
      </c>
      <c r="J10" s="772">
        <f t="shared" ref="J10:J33" si="13">ROUND(AH10,0)</f>
        <v>0</v>
      </c>
      <c r="K10" s="772">
        <f t="shared" ref="K10:K25" si="14">ROUND(AI10,0)</f>
        <v>0</v>
      </c>
      <c r="L10" s="772">
        <f t="shared" ref="L10:L25" si="15">ROUND(AJ10,0)</f>
        <v>14212</v>
      </c>
      <c r="M10" s="772">
        <f t="shared" ref="M10:M25" si="16">ROUND(AK10,0)</f>
        <v>0</v>
      </c>
      <c r="N10" s="772">
        <f t="shared" ref="N10:N25" si="17">ROUND(AL10,0)</f>
        <v>11863</v>
      </c>
      <c r="O10" s="772">
        <f t="shared" ref="O10:O25" si="18">ROUND(AM10,0)</f>
        <v>0</v>
      </c>
      <c r="P10" s="772">
        <f t="shared" ref="P10:P25" si="19">ROUND(AN10,0)</f>
        <v>0</v>
      </c>
      <c r="Q10" s="772">
        <f t="shared" ref="Q10:Q25" si="20">ROUND(AO10,0)</f>
        <v>305757</v>
      </c>
      <c r="R10" s="772">
        <f t="shared" ref="R10:R33" si="21">ROUND(AP10,0)</f>
        <v>0</v>
      </c>
      <c r="S10" s="772">
        <f t="shared" ref="S10:S25" si="22">ROUND(AQ10,0)</f>
        <v>385590</v>
      </c>
      <c r="T10" s="772">
        <f t="shared" ref="T10:T25" si="23">ROUND(AR10,0)</f>
        <v>0</v>
      </c>
      <c r="U10" s="772">
        <f t="shared" ref="U10:U25" si="24">ROUND(AS10,0)</f>
        <v>10238</v>
      </c>
      <c r="V10" s="772">
        <f t="shared" ref="V10:V25" si="25">ROUND(AT10,0)</f>
        <v>225472</v>
      </c>
      <c r="W10" s="772">
        <f t="shared" ref="W10:W25" si="26">ROUND(AU10,0)</f>
        <v>315928</v>
      </c>
      <c r="X10" s="403">
        <f t="shared" si="1"/>
        <v>2984680</v>
      </c>
      <c r="Y10" s="3">
        <f>'t1'!M10</f>
        <v>460</v>
      </c>
      <c r="AA10" s="184">
        <v>0</v>
      </c>
      <c r="AB10" s="184">
        <v>0</v>
      </c>
      <c r="AC10" s="184">
        <v>0</v>
      </c>
      <c r="AD10" s="181">
        <v>472981</v>
      </c>
      <c r="AE10" s="185">
        <v>129799</v>
      </c>
      <c r="AF10" s="185">
        <v>1112840</v>
      </c>
      <c r="AG10" s="185">
        <v>0</v>
      </c>
      <c r="AH10" s="185">
        <v>0</v>
      </c>
      <c r="AI10" s="185">
        <v>0</v>
      </c>
      <c r="AJ10" s="185">
        <v>14212</v>
      </c>
      <c r="AK10" s="185">
        <v>0</v>
      </c>
      <c r="AL10" s="185">
        <v>11863</v>
      </c>
      <c r="AM10" s="185">
        <v>0</v>
      </c>
      <c r="AN10" s="185">
        <v>0</v>
      </c>
      <c r="AO10" s="185">
        <v>305757</v>
      </c>
      <c r="AP10" s="185">
        <v>0</v>
      </c>
      <c r="AQ10" s="185">
        <v>385590</v>
      </c>
      <c r="AR10" s="185">
        <v>0</v>
      </c>
      <c r="AS10" s="185">
        <v>10238</v>
      </c>
      <c r="AT10" s="185">
        <v>225472</v>
      </c>
      <c r="AU10" s="185">
        <v>315928</v>
      </c>
      <c r="AV10" s="403">
        <f t="shared" si="2"/>
        <v>2984680</v>
      </c>
      <c r="AW10" s="3">
        <f>'t1'!AR10</f>
        <v>0</v>
      </c>
      <c r="CA10" s="887" t="s">
        <v>332</v>
      </c>
    </row>
    <row r="11" spans="1:79" ht="12.75" customHeight="1" x14ac:dyDescent="0.2">
      <c r="A11" s="129" t="str">
        <f>'t1'!A11</f>
        <v>POSIZIONE ECONOMICA D - FORESTALE</v>
      </c>
      <c r="B11" s="195" t="str">
        <f>'t1'!B11</f>
        <v>047FOR</v>
      </c>
      <c r="C11" s="771">
        <f t="shared" si="6"/>
        <v>0</v>
      </c>
      <c r="D11" s="771">
        <f t="shared" si="7"/>
        <v>0</v>
      </c>
      <c r="E11" s="771">
        <f t="shared" si="8"/>
        <v>0</v>
      </c>
      <c r="F11" s="761">
        <f t="shared" si="9"/>
        <v>0</v>
      </c>
      <c r="G11" s="772">
        <f t="shared" si="10"/>
        <v>0</v>
      </c>
      <c r="H11" s="772">
        <f t="shared" si="11"/>
        <v>0</v>
      </c>
      <c r="I11" s="772">
        <f t="shared" si="12"/>
        <v>0</v>
      </c>
      <c r="J11" s="772">
        <f t="shared" si="13"/>
        <v>0</v>
      </c>
      <c r="K11" s="772">
        <f t="shared" si="14"/>
        <v>0</v>
      </c>
      <c r="L11" s="772">
        <f t="shared" si="15"/>
        <v>0</v>
      </c>
      <c r="M11" s="772">
        <f t="shared" si="16"/>
        <v>0</v>
      </c>
      <c r="N11" s="772">
        <f t="shared" si="17"/>
        <v>0</v>
      </c>
      <c r="O11" s="772">
        <f t="shared" si="18"/>
        <v>0</v>
      </c>
      <c r="P11" s="772">
        <f t="shared" si="19"/>
        <v>0</v>
      </c>
      <c r="Q11" s="772">
        <f t="shared" si="20"/>
        <v>0</v>
      </c>
      <c r="R11" s="772">
        <f t="shared" si="21"/>
        <v>0</v>
      </c>
      <c r="S11" s="772">
        <f t="shared" si="22"/>
        <v>0</v>
      </c>
      <c r="T11" s="772">
        <f t="shared" si="23"/>
        <v>0</v>
      </c>
      <c r="U11" s="772">
        <f t="shared" si="24"/>
        <v>0</v>
      </c>
      <c r="V11" s="772">
        <f t="shared" si="25"/>
        <v>0</v>
      </c>
      <c r="W11" s="772">
        <f t="shared" si="26"/>
        <v>0</v>
      </c>
      <c r="X11" s="403">
        <f t="shared" si="1"/>
        <v>0</v>
      </c>
      <c r="Y11" s="3">
        <f>'t1'!M11</f>
        <v>0</v>
      </c>
      <c r="AA11" s="184">
        <v>0</v>
      </c>
      <c r="AB11" s="184">
        <v>0</v>
      </c>
      <c r="AC11" s="184">
        <v>0</v>
      </c>
      <c r="AD11" s="181">
        <v>0</v>
      </c>
      <c r="AE11" s="185">
        <v>0</v>
      </c>
      <c r="AF11" s="185">
        <v>0</v>
      </c>
      <c r="AG11" s="185">
        <v>0</v>
      </c>
      <c r="AH11" s="185">
        <v>0</v>
      </c>
      <c r="AI11" s="185">
        <v>0</v>
      </c>
      <c r="AJ11" s="185">
        <v>0</v>
      </c>
      <c r="AK11" s="185">
        <v>0</v>
      </c>
      <c r="AL11" s="185">
        <v>0</v>
      </c>
      <c r="AM11" s="185">
        <v>0</v>
      </c>
      <c r="AN11" s="185">
        <v>0</v>
      </c>
      <c r="AO11" s="185">
        <v>0</v>
      </c>
      <c r="AP11" s="185">
        <v>0</v>
      </c>
      <c r="AQ11" s="185">
        <v>0</v>
      </c>
      <c r="AR11" s="185">
        <v>0</v>
      </c>
      <c r="AS11" s="185">
        <v>0</v>
      </c>
      <c r="AT11" s="185">
        <v>0</v>
      </c>
      <c r="AU11" s="185">
        <v>0</v>
      </c>
      <c r="AV11" s="403">
        <f t="shared" si="2"/>
        <v>0</v>
      </c>
      <c r="AW11" s="3">
        <f>'t1'!AR11</f>
        <v>0</v>
      </c>
      <c r="CA11" s="887" t="s">
        <v>298</v>
      </c>
    </row>
    <row r="12" spans="1:79" ht="12.75" customHeight="1" x14ac:dyDescent="0.2">
      <c r="A12" s="129" t="str">
        <f>'t1'!A12</f>
        <v>POSIZIONE ECONOMICA D  ISPETTORE ANTINCENDI DIRETTORE-VVFF</v>
      </c>
      <c r="B12" s="195" t="str">
        <f>'t1'!B12</f>
        <v>047IS3</v>
      </c>
      <c r="C12" s="771">
        <f t="shared" si="6"/>
        <v>0</v>
      </c>
      <c r="D12" s="771">
        <f t="shared" si="7"/>
        <v>0</v>
      </c>
      <c r="E12" s="771">
        <f t="shared" si="8"/>
        <v>0</v>
      </c>
      <c r="F12" s="761">
        <f t="shared" si="9"/>
        <v>700</v>
      </c>
      <c r="G12" s="772">
        <f t="shared" si="10"/>
        <v>0</v>
      </c>
      <c r="H12" s="772">
        <f t="shared" si="11"/>
        <v>226</v>
      </c>
      <c r="I12" s="772">
        <f t="shared" si="12"/>
        <v>0</v>
      </c>
      <c r="J12" s="772">
        <f t="shared" si="13"/>
        <v>0</v>
      </c>
      <c r="K12" s="772">
        <f t="shared" si="14"/>
        <v>0</v>
      </c>
      <c r="L12" s="772">
        <f t="shared" si="15"/>
        <v>0</v>
      </c>
      <c r="M12" s="772">
        <f t="shared" si="16"/>
        <v>0</v>
      </c>
      <c r="N12" s="772">
        <f t="shared" si="17"/>
        <v>1049</v>
      </c>
      <c r="O12" s="772">
        <f t="shared" si="18"/>
        <v>0</v>
      </c>
      <c r="P12" s="772">
        <f t="shared" si="19"/>
        <v>0</v>
      </c>
      <c r="Q12" s="772">
        <f t="shared" si="20"/>
        <v>0</v>
      </c>
      <c r="R12" s="772">
        <f t="shared" si="21"/>
        <v>0</v>
      </c>
      <c r="S12" s="772">
        <f t="shared" si="22"/>
        <v>153</v>
      </c>
      <c r="T12" s="772">
        <f t="shared" si="23"/>
        <v>0</v>
      </c>
      <c r="U12" s="772">
        <f t="shared" si="24"/>
        <v>0</v>
      </c>
      <c r="V12" s="772">
        <f t="shared" si="25"/>
        <v>314</v>
      </c>
      <c r="W12" s="772">
        <f t="shared" si="26"/>
        <v>453</v>
      </c>
      <c r="X12" s="403">
        <f t="shared" si="1"/>
        <v>2895</v>
      </c>
      <c r="Y12" s="3">
        <f>'t1'!M12</f>
        <v>0</v>
      </c>
      <c r="AA12" s="184">
        <v>0</v>
      </c>
      <c r="AB12" s="184">
        <v>0</v>
      </c>
      <c r="AC12" s="184">
        <v>0</v>
      </c>
      <c r="AD12" s="181">
        <v>700</v>
      </c>
      <c r="AE12" s="185">
        <v>0</v>
      </c>
      <c r="AF12" s="185">
        <v>226</v>
      </c>
      <c r="AG12" s="185">
        <v>0</v>
      </c>
      <c r="AH12" s="185">
        <v>0</v>
      </c>
      <c r="AI12" s="185">
        <v>0</v>
      </c>
      <c r="AJ12" s="185">
        <v>0</v>
      </c>
      <c r="AK12" s="185">
        <v>0</v>
      </c>
      <c r="AL12" s="185">
        <v>1049</v>
      </c>
      <c r="AM12" s="185">
        <v>0</v>
      </c>
      <c r="AN12" s="185">
        <v>0</v>
      </c>
      <c r="AO12" s="185">
        <v>0</v>
      </c>
      <c r="AP12" s="185">
        <v>0</v>
      </c>
      <c r="AQ12" s="185">
        <v>153</v>
      </c>
      <c r="AR12" s="185">
        <v>0</v>
      </c>
      <c r="AS12" s="185">
        <v>0</v>
      </c>
      <c r="AT12" s="185">
        <v>314</v>
      </c>
      <c r="AU12" s="185">
        <v>453</v>
      </c>
      <c r="AV12" s="403">
        <f t="shared" si="2"/>
        <v>2895</v>
      </c>
      <c r="AW12" s="3">
        <f>'t1'!AR12</f>
        <v>0</v>
      </c>
      <c r="CA12" s="887" t="s">
        <v>298</v>
      </c>
    </row>
    <row r="13" spans="1:79" ht="12.75" customHeight="1" x14ac:dyDescent="0.2">
      <c r="A13" s="129" t="str">
        <f>'t1'!A13</f>
        <v>POSIZIONE ECONOMICA D  ISPETTORE ANTINCENDI  VVFF</v>
      </c>
      <c r="B13" s="195" t="str">
        <f>'t1'!B13</f>
        <v>047IS2</v>
      </c>
      <c r="C13" s="771">
        <f t="shared" si="6"/>
        <v>0</v>
      </c>
      <c r="D13" s="771">
        <f t="shared" si="7"/>
        <v>0</v>
      </c>
      <c r="E13" s="771">
        <f t="shared" si="8"/>
        <v>0</v>
      </c>
      <c r="F13" s="761">
        <f t="shared" si="9"/>
        <v>9177</v>
      </c>
      <c r="G13" s="772">
        <f t="shared" si="10"/>
        <v>0</v>
      </c>
      <c r="H13" s="772">
        <f t="shared" si="11"/>
        <v>10642</v>
      </c>
      <c r="I13" s="772">
        <f t="shared" si="12"/>
        <v>0</v>
      </c>
      <c r="J13" s="772">
        <f t="shared" si="13"/>
        <v>0</v>
      </c>
      <c r="K13" s="772">
        <f t="shared" si="14"/>
        <v>0</v>
      </c>
      <c r="L13" s="772">
        <f t="shared" si="15"/>
        <v>0</v>
      </c>
      <c r="M13" s="772">
        <f t="shared" si="16"/>
        <v>0</v>
      </c>
      <c r="N13" s="772">
        <f t="shared" si="17"/>
        <v>46817</v>
      </c>
      <c r="O13" s="772">
        <f t="shared" si="18"/>
        <v>0</v>
      </c>
      <c r="P13" s="772">
        <f t="shared" si="19"/>
        <v>0</v>
      </c>
      <c r="Q13" s="772">
        <f t="shared" si="20"/>
        <v>0</v>
      </c>
      <c r="R13" s="772">
        <f t="shared" si="21"/>
        <v>0</v>
      </c>
      <c r="S13" s="772">
        <f t="shared" si="22"/>
        <v>6623</v>
      </c>
      <c r="T13" s="772">
        <f t="shared" si="23"/>
        <v>0</v>
      </c>
      <c r="U13" s="772">
        <f t="shared" si="24"/>
        <v>0</v>
      </c>
      <c r="V13" s="772">
        <f t="shared" si="25"/>
        <v>21315</v>
      </c>
      <c r="W13" s="772">
        <f t="shared" si="26"/>
        <v>18620</v>
      </c>
      <c r="X13" s="403">
        <f t="shared" si="1"/>
        <v>113194</v>
      </c>
      <c r="Y13" s="3">
        <f>'t1'!M13</f>
        <v>5</v>
      </c>
      <c r="AA13" s="184">
        <v>0</v>
      </c>
      <c r="AB13" s="184">
        <v>0</v>
      </c>
      <c r="AC13" s="184">
        <v>0</v>
      </c>
      <c r="AD13" s="181">
        <v>9177</v>
      </c>
      <c r="AE13" s="185">
        <v>0</v>
      </c>
      <c r="AF13" s="185">
        <v>10642</v>
      </c>
      <c r="AG13" s="185">
        <v>0</v>
      </c>
      <c r="AH13" s="185">
        <v>0</v>
      </c>
      <c r="AI13" s="185">
        <v>0</v>
      </c>
      <c r="AJ13" s="185">
        <v>0</v>
      </c>
      <c r="AK13" s="185">
        <v>0</v>
      </c>
      <c r="AL13" s="185">
        <v>46817</v>
      </c>
      <c r="AM13" s="185">
        <v>0</v>
      </c>
      <c r="AN13" s="185">
        <v>0</v>
      </c>
      <c r="AO13" s="185">
        <v>0</v>
      </c>
      <c r="AP13" s="185">
        <v>0</v>
      </c>
      <c r="AQ13" s="185">
        <v>6623</v>
      </c>
      <c r="AR13" s="185">
        <v>0</v>
      </c>
      <c r="AS13" s="185">
        <v>0</v>
      </c>
      <c r="AT13" s="185">
        <v>21315</v>
      </c>
      <c r="AU13" s="185">
        <v>18620</v>
      </c>
      <c r="AV13" s="403">
        <f t="shared" si="2"/>
        <v>113194</v>
      </c>
      <c r="AW13" s="3">
        <f>'t1'!AR13</f>
        <v>0</v>
      </c>
      <c r="CA13" s="887" t="s">
        <v>298</v>
      </c>
    </row>
    <row r="14" spans="1:79" ht="12.75" customHeight="1" x14ac:dyDescent="0.2">
      <c r="A14" s="129" t="str">
        <f>'t1'!A14</f>
        <v>POSIZIONE ECONOMICA C2</v>
      </c>
      <c r="B14" s="195" t="str">
        <f>'t1'!B14</f>
        <v>042000</v>
      </c>
      <c r="C14" s="771">
        <f t="shared" si="6"/>
        <v>0</v>
      </c>
      <c r="D14" s="771">
        <f t="shared" si="7"/>
        <v>0</v>
      </c>
      <c r="E14" s="771">
        <f t="shared" si="8"/>
        <v>0</v>
      </c>
      <c r="F14" s="761">
        <f t="shared" si="9"/>
        <v>0</v>
      </c>
      <c r="G14" s="772">
        <f t="shared" si="10"/>
        <v>0</v>
      </c>
      <c r="H14" s="772">
        <f t="shared" si="11"/>
        <v>1475082</v>
      </c>
      <c r="I14" s="772">
        <f t="shared" si="12"/>
        <v>0</v>
      </c>
      <c r="J14" s="772">
        <f t="shared" si="13"/>
        <v>0</v>
      </c>
      <c r="K14" s="772">
        <f t="shared" si="14"/>
        <v>0</v>
      </c>
      <c r="L14" s="772">
        <f t="shared" si="15"/>
        <v>37465</v>
      </c>
      <c r="M14" s="772">
        <f t="shared" si="16"/>
        <v>0</v>
      </c>
      <c r="N14" s="772">
        <f t="shared" si="17"/>
        <v>83606</v>
      </c>
      <c r="O14" s="772">
        <f t="shared" si="18"/>
        <v>0</v>
      </c>
      <c r="P14" s="772">
        <f t="shared" si="19"/>
        <v>0</v>
      </c>
      <c r="Q14" s="772">
        <f t="shared" si="20"/>
        <v>232534</v>
      </c>
      <c r="R14" s="772">
        <f t="shared" si="21"/>
        <v>0</v>
      </c>
      <c r="S14" s="772">
        <f t="shared" si="22"/>
        <v>703405</v>
      </c>
      <c r="T14" s="772">
        <f t="shared" si="23"/>
        <v>0</v>
      </c>
      <c r="U14" s="772">
        <f t="shared" si="24"/>
        <v>0</v>
      </c>
      <c r="V14" s="772">
        <f t="shared" si="25"/>
        <v>741261</v>
      </c>
      <c r="W14" s="772">
        <f t="shared" si="26"/>
        <v>285005</v>
      </c>
      <c r="X14" s="403">
        <f t="shared" si="1"/>
        <v>3558358</v>
      </c>
      <c r="Y14" s="3">
        <f>'t1'!M14</f>
        <v>766</v>
      </c>
      <c r="AA14" s="184">
        <v>0</v>
      </c>
      <c r="AB14" s="184">
        <v>0</v>
      </c>
      <c r="AC14" s="184">
        <v>0</v>
      </c>
      <c r="AD14" s="181">
        <v>0</v>
      </c>
      <c r="AE14" s="185"/>
      <c r="AF14" s="185">
        <v>1475082</v>
      </c>
      <c r="AG14" s="185">
        <v>0</v>
      </c>
      <c r="AH14" s="185">
        <v>0</v>
      </c>
      <c r="AI14" s="185">
        <v>0</v>
      </c>
      <c r="AJ14" s="185">
        <v>37465</v>
      </c>
      <c r="AK14" s="185">
        <v>0</v>
      </c>
      <c r="AL14" s="185">
        <v>83606</v>
      </c>
      <c r="AM14" s="185">
        <v>0</v>
      </c>
      <c r="AN14" s="185">
        <v>0</v>
      </c>
      <c r="AO14" s="185">
        <v>232534</v>
      </c>
      <c r="AP14" s="185">
        <v>0</v>
      </c>
      <c r="AQ14" s="185">
        <v>703405</v>
      </c>
      <c r="AR14" s="185">
        <v>0</v>
      </c>
      <c r="AS14" s="185">
        <v>0</v>
      </c>
      <c r="AT14" s="185">
        <v>741261</v>
      </c>
      <c r="AU14" s="185">
        <v>285005</v>
      </c>
      <c r="AV14" s="403">
        <f t="shared" si="2"/>
        <v>3558358</v>
      </c>
      <c r="AW14" s="3">
        <f>'t1'!AR14</f>
        <v>0</v>
      </c>
      <c r="CA14" s="887" t="s">
        <v>298</v>
      </c>
    </row>
    <row r="15" spans="1:79" ht="12.75" customHeight="1" x14ac:dyDescent="0.2">
      <c r="A15" s="129" t="str">
        <f>'t1'!A15</f>
        <v>POSIZIONE ECONOMICA C1</v>
      </c>
      <c r="B15" s="195" t="str">
        <f>'t1'!B15</f>
        <v>040000</v>
      </c>
      <c r="C15" s="771">
        <f t="shared" si="6"/>
        <v>0</v>
      </c>
      <c r="D15" s="771">
        <f t="shared" si="7"/>
        <v>0</v>
      </c>
      <c r="E15" s="771">
        <f t="shared" si="8"/>
        <v>0</v>
      </c>
      <c r="F15" s="761">
        <f t="shared" si="9"/>
        <v>0</v>
      </c>
      <c r="G15" s="772">
        <f t="shared" si="10"/>
        <v>0</v>
      </c>
      <c r="H15" s="772">
        <f t="shared" si="11"/>
        <v>56906</v>
      </c>
      <c r="I15" s="772">
        <f t="shared" si="12"/>
        <v>0</v>
      </c>
      <c r="J15" s="772">
        <f t="shared" si="13"/>
        <v>0</v>
      </c>
      <c r="K15" s="772">
        <f t="shared" si="14"/>
        <v>0</v>
      </c>
      <c r="L15" s="772">
        <f t="shared" si="15"/>
        <v>4179</v>
      </c>
      <c r="M15" s="772">
        <f t="shared" si="16"/>
        <v>0</v>
      </c>
      <c r="N15" s="772">
        <f t="shared" si="17"/>
        <v>1200</v>
      </c>
      <c r="O15" s="772">
        <f t="shared" si="18"/>
        <v>0</v>
      </c>
      <c r="P15" s="772">
        <f t="shared" si="19"/>
        <v>0</v>
      </c>
      <c r="Q15" s="772">
        <f t="shared" si="20"/>
        <v>715</v>
      </c>
      <c r="R15" s="772">
        <f t="shared" si="21"/>
        <v>0</v>
      </c>
      <c r="S15" s="772">
        <f t="shared" si="22"/>
        <v>25193</v>
      </c>
      <c r="T15" s="772">
        <f t="shared" si="23"/>
        <v>0</v>
      </c>
      <c r="U15" s="772">
        <f t="shared" si="24"/>
        <v>0</v>
      </c>
      <c r="V15" s="772">
        <f t="shared" si="25"/>
        <v>18661</v>
      </c>
      <c r="W15" s="772">
        <f t="shared" si="26"/>
        <v>2308</v>
      </c>
      <c r="X15" s="403">
        <f t="shared" si="1"/>
        <v>109162</v>
      </c>
      <c r="Y15" s="3">
        <f>'t1'!M15</f>
        <v>25</v>
      </c>
      <c r="AA15" s="184">
        <v>0</v>
      </c>
      <c r="AB15" s="184">
        <v>0</v>
      </c>
      <c r="AC15" s="184">
        <v>0</v>
      </c>
      <c r="AD15" s="181">
        <v>0</v>
      </c>
      <c r="AE15" s="185">
        <v>0</v>
      </c>
      <c r="AF15" s="185">
        <v>56906</v>
      </c>
      <c r="AG15" s="185">
        <v>0</v>
      </c>
      <c r="AH15" s="185">
        <v>0</v>
      </c>
      <c r="AI15" s="185">
        <v>0</v>
      </c>
      <c r="AJ15" s="185">
        <v>4179</v>
      </c>
      <c r="AK15" s="185">
        <v>0</v>
      </c>
      <c r="AL15" s="185">
        <v>1200</v>
      </c>
      <c r="AM15" s="185">
        <v>0</v>
      </c>
      <c r="AN15" s="185">
        <v>0</v>
      </c>
      <c r="AO15" s="185">
        <v>715</v>
      </c>
      <c r="AP15" s="185">
        <v>0</v>
      </c>
      <c r="AQ15" s="185">
        <v>25193</v>
      </c>
      <c r="AR15" s="185">
        <v>0</v>
      </c>
      <c r="AS15" s="185">
        <v>0</v>
      </c>
      <c r="AT15" s="185">
        <v>18661</v>
      </c>
      <c r="AU15" s="185">
        <v>2308</v>
      </c>
      <c r="AV15" s="403">
        <f t="shared" si="2"/>
        <v>109162</v>
      </c>
      <c r="AW15" s="3">
        <f>'t1'!AR15</f>
        <v>0</v>
      </c>
      <c r="CA15" s="887" t="s">
        <v>298</v>
      </c>
    </row>
    <row r="16" spans="1:79" ht="12.75" customHeight="1" x14ac:dyDescent="0.2">
      <c r="A16" s="129" t="str">
        <f>'t1'!A16</f>
        <v>ISPETTORE FORESTALE C21F</v>
      </c>
      <c r="B16" s="195" t="str">
        <f>'t1'!B16</f>
        <v>042324</v>
      </c>
      <c r="C16" s="771">
        <f t="shared" si="6"/>
        <v>0</v>
      </c>
      <c r="D16" s="771">
        <f t="shared" si="7"/>
        <v>0</v>
      </c>
      <c r="E16" s="771">
        <f t="shared" si="8"/>
        <v>0</v>
      </c>
      <c r="F16" s="761">
        <f t="shared" si="9"/>
        <v>0</v>
      </c>
      <c r="G16" s="772">
        <f t="shared" si="10"/>
        <v>0</v>
      </c>
      <c r="H16" s="772">
        <f t="shared" si="11"/>
        <v>40645</v>
      </c>
      <c r="I16" s="772">
        <f t="shared" si="12"/>
        <v>182431</v>
      </c>
      <c r="J16" s="772">
        <f t="shared" si="13"/>
        <v>0</v>
      </c>
      <c r="K16" s="772">
        <f t="shared" si="14"/>
        <v>0</v>
      </c>
      <c r="L16" s="772">
        <f t="shared" si="15"/>
        <v>0</v>
      </c>
      <c r="M16" s="772">
        <f t="shared" si="16"/>
        <v>0</v>
      </c>
      <c r="N16" s="772">
        <f t="shared" si="17"/>
        <v>21758</v>
      </c>
      <c r="O16" s="772">
        <f t="shared" si="18"/>
        <v>0</v>
      </c>
      <c r="P16" s="772">
        <f t="shared" si="19"/>
        <v>0</v>
      </c>
      <c r="Q16" s="772">
        <f t="shared" si="20"/>
        <v>0</v>
      </c>
      <c r="R16" s="772">
        <f t="shared" si="21"/>
        <v>0</v>
      </c>
      <c r="S16" s="772">
        <f t="shared" si="22"/>
        <v>28283</v>
      </c>
      <c r="T16" s="772">
        <f t="shared" si="23"/>
        <v>0</v>
      </c>
      <c r="U16" s="772">
        <f t="shared" si="24"/>
        <v>22801</v>
      </c>
      <c r="V16" s="772">
        <f t="shared" si="25"/>
        <v>37751</v>
      </c>
      <c r="W16" s="772">
        <f t="shared" si="26"/>
        <v>13222</v>
      </c>
      <c r="X16" s="403">
        <f t="shared" si="1"/>
        <v>346891</v>
      </c>
      <c r="Y16" s="3">
        <f>'t1'!M16</f>
        <v>19</v>
      </c>
      <c r="AA16" s="184">
        <v>0</v>
      </c>
      <c r="AB16" s="184">
        <v>0</v>
      </c>
      <c r="AC16" s="184">
        <v>0</v>
      </c>
      <c r="AD16" s="181">
        <v>0</v>
      </c>
      <c r="AE16" s="185">
        <v>0</v>
      </c>
      <c r="AF16" s="185">
        <v>40645</v>
      </c>
      <c r="AG16" s="185">
        <v>182431</v>
      </c>
      <c r="AH16" s="185">
        <v>0</v>
      </c>
      <c r="AI16" s="185">
        <v>0</v>
      </c>
      <c r="AJ16" s="185">
        <v>0</v>
      </c>
      <c r="AK16" s="185">
        <v>0</v>
      </c>
      <c r="AL16" s="185">
        <v>21758</v>
      </c>
      <c r="AM16" s="185">
        <v>0</v>
      </c>
      <c r="AN16" s="185">
        <v>0</v>
      </c>
      <c r="AO16" s="185">
        <v>0</v>
      </c>
      <c r="AP16" s="185">
        <v>0</v>
      </c>
      <c r="AQ16" s="185">
        <v>28283</v>
      </c>
      <c r="AR16" s="185">
        <v>0</v>
      </c>
      <c r="AS16" s="185">
        <v>22801</v>
      </c>
      <c r="AT16" s="185">
        <v>37751</v>
      </c>
      <c r="AU16" s="185">
        <v>13222</v>
      </c>
      <c r="AV16" s="403">
        <f t="shared" si="2"/>
        <v>346891</v>
      </c>
      <c r="AW16" s="3">
        <f>'t1'!AR16</f>
        <v>0</v>
      </c>
      <c r="CA16" s="887" t="s">
        <v>298</v>
      </c>
    </row>
    <row r="17" spans="1:79" ht="12.75" customHeight="1" x14ac:dyDescent="0.2">
      <c r="A17" s="129" t="str">
        <f>'t1'!A17</f>
        <v>SOVRAINTENDENTE C1F</v>
      </c>
      <c r="B17" s="195" t="str">
        <f>'t1'!B17</f>
        <v>040211</v>
      </c>
      <c r="C17" s="771">
        <f t="shared" si="6"/>
        <v>0</v>
      </c>
      <c r="D17" s="771">
        <f t="shared" si="7"/>
        <v>0</v>
      </c>
      <c r="E17" s="771">
        <f t="shared" si="8"/>
        <v>0</v>
      </c>
      <c r="F17" s="771">
        <f t="shared" si="9"/>
        <v>0</v>
      </c>
      <c r="G17" s="771">
        <f t="shared" si="10"/>
        <v>0</v>
      </c>
      <c r="H17" s="772">
        <f t="shared" si="11"/>
        <v>48589</v>
      </c>
      <c r="I17" s="772">
        <f t="shared" si="12"/>
        <v>202970</v>
      </c>
      <c r="J17" s="772">
        <f t="shared" si="13"/>
        <v>0</v>
      </c>
      <c r="K17" s="772">
        <f t="shared" si="14"/>
        <v>0</v>
      </c>
      <c r="L17" s="772">
        <f t="shared" si="15"/>
        <v>0</v>
      </c>
      <c r="M17" s="772">
        <f t="shared" si="16"/>
        <v>0</v>
      </c>
      <c r="N17" s="772">
        <f t="shared" si="17"/>
        <v>29313</v>
      </c>
      <c r="O17" s="772">
        <f t="shared" si="18"/>
        <v>0</v>
      </c>
      <c r="P17" s="772">
        <f t="shared" si="19"/>
        <v>0</v>
      </c>
      <c r="Q17" s="772">
        <f t="shared" si="20"/>
        <v>0</v>
      </c>
      <c r="R17" s="772">
        <f t="shared" si="21"/>
        <v>0</v>
      </c>
      <c r="S17" s="772">
        <f t="shared" si="22"/>
        <v>28554</v>
      </c>
      <c r="T17" s="772">
        <f t="shared" si="23"/>
        <v>0</v>
      </c>
      <c r="U17" s="772">
        <f t="shared" si="24"/>
        <v>30915</v>
      </c>
      <c r="V17" s="772">
        <f t="shared" si="25"/>
        <v>61865</v>
      </c>
      <c r="W17" s="772">
        <f t="shared" si="26"/>
        <v>8485</v>
      </c>
      <c r="X17" s="403">
        <f t="shared" si="1"/>
        <v>410691</v>
      </c>
      <c r="Y17" s="3">
        <f>'t1'!M17</f>
        <v>27</v>
      </c>
      <c r="AA17" s="184">
        <v>0</v>
      </c>
      <c r="AB17" s="184">
        <v>0</v>
      </c>
      <c r="AC17" s="184">
        <v>0</v>
      </c>
      <c r="AD17" s="184">
        <v>0</v>
      </c>
      <c r="AE17" s="184">
        <v>0</v>
      </c>
      <c r="AF17" s="185">
        <v>48589</v>
      </c>
      <c r="AG17" s="185">
        <v>202970</v>
      </c>
      <c r="AH17" s="185">
        <v>0</v>
      </c>
      <c r="AI17" s="185">
        <v>0</v>
      </c>
      <c r="AJ17" s="185">
        <v>0</v>
      </c>
      <c r="AK17" s="185">
        <v>0</v>
      </c>
      <c r="AL17" s="185">
        <v>29313</v>
      </c>
      <c r="AM17" s="185">
        <v>0</v>
      </c>
      <c r="AN17" s="185">
        <v>0</v>
      </c>
      <c r="AO17" s="185">
        <v>0</v>
      </c>
      <c r="AP17" s="185">
        <v>0</v>
      </c>
      <c r="AQ17" s="185">
        <v>28554</v>
      </c>
      <c r="AR17" s="185">
        <v>0</v>
      </c>
      <c r="AS17" s="185">
        <v>30915</v>
      </c>
      <c r="AT17" s="185">
        <v>61865</v>
      </c>
      <c r="AU17" s="185">
        <v>8485</v>
      </c>
      <c r="AV17" s="403">
        <f t="shared" si="2"/>
        <v>410691</v>
      </c>
      <c r="AW17" s="3">
        <f>'t1'!AR17</f>
        <v>0</v>
      </c>
      <c r="CA17" s="887" t="s">
        <v>298</v>
      </c>
    </row>
    <row r="18" spans="1:79" ht="12.75" customHeight="1" x14ac:dyDescent="0.2">
      <c r="A18" s="129" t="str">
        <f>'t1'!A18</f>
        <v>POSIZIONE ECONOMICA C2  CAPO REPARTO  VVFF</v>
      </c>
      <c r="B18" s="195" t="str">
        <f>'t1'!B18</f>
        <v>042CR1</v>
      </c>
      <c r="C18" s="771">
        <f t="shared" si="6"/>
        <v>0</v>
      </c>
      <c r="D18" s="771">
        <f t="shared" si="7"/>
        <v>0</v>
      </c>
      <c r="E18" s="771">
        <f t="shared" si="8"/>
        <v>0</v>
      </c>
      <c r="F18" s="771">
        <f t="shared" si="9"/>
        <v>0</v>
      </c>
      <c r="G18" s="771">
        <f t="shared" si="10"/>
        <v>0</v>
      </c>
      <c r="H18" s="772">
        <f t="shared" si="11"/>
        <v>25208</v>
      </c>
      <c r="I18" s="772">
        <f t="shared" si="12"/>
        <v>0</v>
      </c>
      <c r="J18" s="772">
        <f t="shared" si="13"/>
        <v>0</v>
      </c>
      <c r="K18" s="772">
        <f t="shared" si="14"/>
        <v>0</v>
      </c>
      <c r="L18" s="772">
        <f t="shared" si="15"/>
        <v>0</v>
      </c>
      <c r="M18" s="772">
        <f t="shared" si="16"/>
        <v>0</v>
      </c>
      <c r="N18" s="772">
        <f t="shared" si="17"/>
        <v>119384</v>
      </c>
      <c r="O18" s="772">
        <f t="shared" si="18"/>
        <v>0</v>
      </c>
      <c r="P18" s="772">
        <f t="shared" si="19"/>
        <v>0</v>
      </c>
      <c r="Q18" s="772">
        <f t="shared" si="20"/>
        <v>0</v>
      </c>
      <c r="R18" s="772">
        <f t="shared" si="21"/>
        <v>0</v>
      </c>
      <c r="S18" s="772">
        <f t="shared" si="22"/>
        <v>18570</v>
      </c>
      <c r="T18" s="772">
        <f t="shared" si="23"/>
        <v>0</v>
      </c>
      <c r="U18" s="772">
        <f t="shared" si="24"/>
        <v>0</v>
      </c>
      <c r="V18" s="772">
        <f t="shared" si="25"/>
        <v>46710</v>
      </c>
      <c r="W18" s="772">
        <f t="shared" si="26"/>
        <v>28412</v>
      </c>
      <c r="X18" s="403">
        <f t="shared" si="1"/>
        <v>238284</v>
      </c>
      <c r="Y18" s="3">
        <f>'t1'!M18</f>
        <v>11</v>
      </c>
      <c r="AA18" s="184">
        <v>0</v>
      </c>
      <c r="AB18" s="184">
        <v>0</v>
      </c>
      <c r="AC18" s="184">
        <v>0</v>
      </c>
      <c r="AD18" s="184">
        <v>0</v>
      </c>
      <c r="AE18" s="184">
        <v>0</v>
      </c>
      <c r="AF18" s="185">
        <v>25208</v>
      </c>
      <c r="AG18" s="185">
        <v>0</v>
      </c>
      <c r="AH18" s="185">
        <v>0</v>
      </c>
      <c r="AI18" s="185">
        <v>0</v>
      </c>
      <c r="AJ18" s="185">
        <v>0</v>
      </c>
      <c r="AK18" s="185">
        <v>0</v>
      </c>
      <c r="AL18" s="185">
        <v>119384</v>
      </c>
      <c r="AM18" s="185">
        <v>0</v>
      </c>
      <c r="AN18" s="185">
        <v>0</v>
      </c>
      <c r="AO18" s="185">
        <v>0</v>
      </c>
      <c r="AP18" s="185">
        <v>0</v>
      </c>
      <c r="AQ18" s="185">
        <v>18570</v>
      </c>
      <c r="AR18" s="185">
        <v>0</v>
      </c>
      <c r="AS18" s="185">
        <v>0</v>
      </c>
      <c r="AT18" s="185">
        <v>46710</v>
      </c>
      <c r="AU18" s="185">
        <v>28412</v>
      </c>
      <c r="AV18" s="403">
        <f t="shared" si="2"/>
        <v>238284</v>
      </c>
      <c r="AW18" s="3">
        <f>'t1'!AR18</f>
        <v>0</v>
      </c>
      <c r="CA18" s="887" t="s">
        <v>298</v>
      </c>
    </row>
    <row r="19" spans="1:79" ht="12.75" customHeight="1" x14ac:dyDescent="0.2">
      <c r="A19" s="129" t="str">
        <f>'t1'!A19</f>
        <v>POSIZIONE ECONOMICA C2  COLLAB. TECNICO ANTINCENDI  VVFF</v>
      </c>
      <c r="B19" s="195" t="str">
        <f>'t1'!B19</f>
        <v>042CA0</v>
      </c>
      <c r="C19" s="771">
        <f t="shared" si="6"/>
        <v>0</v>
      </c>
      <c r="D19" s="771">
        <f t="shared" si="7"/>
        <v>0</v>
      </c>
      <c r="E19" s="771">
        <f t="shared" si="8"/>
        <v>0</v>
      </c>
      <c r="F19" s="771">
        <f t="shared" si="9"/>
        <v>0</v>
      </c>
      <c r="G19" s="771">
        <f t="shared" si="10"/>
        <v>0</v>
      </c>
      <c r="H19" s="772">
        <f t="shared" si="11"/>
        <v>18132</v>
      </c>
      <c r="I19" s="772">
        <f t="shared" si="12"/>
        <v>0</v>
      </c>
      <c r="J19" s="772">
        <f t="shared" si="13"/>
        <v>0</v>
      </c>
      <c r="K19" s="772">
        <f t="shared" si="14"/>
        <v>0</v>
      </c>
      <c r="L19" s="772">
        <f t="shared" si="15"/>
        <v>0</v>
      </c>
      <c r="M19" s="772">
        <f t="shared" si="16"/>
        <v>0</v>
      </c>
      <c r="N19" s="772">
        <f t="shared" si="17"/>
        <v>81483</v>
      </c>
      <c r="O19" s="772">
        <f t="shared" si="18"/>
        <v>0</v>
      </c>
      <c r="P19" s="772">
        <f t="shared" si="19"/>
        <v>0</v>
      </c>
      <c r="Q19" s="772">
        <f t="shared" si="20"/>
        <v>66</v>
      </c>
      <c r="R19" s="772">
        <f t="shared" si="21"/>
        <v>0</v>
      </c>
      <c r="S19" s="772">
        <f t="shared" si="22"/>
        <v>12543</v>
      </c>
      <c r="T19" s="772">
        <f t="shared" si="23"/>
        <v>0</v>
      </c>
      <c r="U19" s="772">
        <f t="shared" si="24"/>
        <v>0</v>
      </c>
      <c r="V19" s="772">
        <f t="shared" si="25"/>
        <v>30758</v>
      </c>
      <c r="W19" s="772">
        <f t="shared" si="26"/>
        <v>21518</v>
      </c>
      <c r="X19" s="403">
        <f t="shared" si="1"/>
        <v>164500</v>
      </c>
      <c r="Y19" s="3">
        <f>'t1'!M19</f>
        <v>8</v>
      </c>
      <c r="AA19" s="184">
        <v>0</v>
      </c>
      <c r="AB19" s="184">
        <v>0</v>
      </c>
      <c r="AC19" s="184">
        <v>0</v>
      </c>
      <c r="AD19" s="184">
        <v>0</v>
      </c>
      <c r="AE19" s="184">
        <v>0</v>
      </c>
      <c r="AF19" s="185">
        <v>18132</v>
      </c>
      <c r="AG19" s="185">
        <v>0</v>
      </c>
      <c r="AH19" s="185">
        <v>0</v>
      </c>
      <c r="AI19" s="185">
        <v>0</v>
      </c>
      <c r="AJ19" s="185">
        <v>0</v>
      </c>
      <c r="AK19" s="185">
        <v>0</v>
      </c>
      <c r="AL19" s="185">
        <v>81483</v>
      </c>
      <c r="AM19" s="185">
        <v>0</v>
      </c>
      <c r="AN19" s="185">
        <v>0</v>
      </c>
      <c r="AO19" s="185">
        <v>66</v>
      </c>
      <c r="AP19" s="185">
        <v>0</v>
      </c>
      <c r="AQ19" s="185">
        <v>12543</v>
      </c>
      <c r="AR19" s="185">
        <v>0</v>
      </c>
      <c r="AS19" s="185">
        <v>0</v>
      </c>
      <c r="AT19" s="185">
        <v>30758</v>
      </c>
      <c r="AU19" s="185">
        <v>21518</v>
      </c>
      <c r="AV19" s="403">
        <f t="shared" si="2"/>
        <v>164500</v>
      </c>
      <c r="AW19" s="3">
        <f>'t1'!AR19</f>
        <v>0</v>
      </c>
      <c r="CA19" s="887" t="s">
        <v>298</v>
      </c>
    </row>
    <row r="20" spans="1:79" ht="12.75" customHeight="1" x14ac:dyDescent="0.2">
      <c r="A20" s="129" t="str">
        <f>'t1'!A20</f>
        <v>POSIZIONE ECONOMICA C1  CAPO SQUADRA  VVFF</v>
      </c>
      <c r="B20" s="195" t="str">
        <f>'t1'!B20</f>
        <v>040CS1</v>
      </c>
      <c r="C20" s="771">
        <f t="shared" si="6"/>
        <v>0</v>
      </c>
      <c r="D20" s="771">
        <f t="shared" si="7"/>
        <v>0</v>
      </c>
      <c r="E20" s="771">
        <f t="shared" si="8"/>
        <v>0</v>
      </c>
      <c r="F20" s="771">
        <f t="shared" si="9"/>
        <v>0</v>
      </c>
      <c r="G20" s="771">
        <f t="shared" si="10"/>
        <v>0</v>
      </c>
      <c r="H20" s="772">
        <f t="shared" si="11"/>
        <v>69101</v>
      </c>
      <c r="I20" s="772">
        <f t="shared" si="12"/>
        <v>0</v>
      </c>
      <c r="J20" s="772">
        <f t="shared" si="13"/>
        <v>0</v>
      </c>
      <c r="K20" s="772">
        <f t="shared" si="14"/>
        <v>0</v>
      </c>
      <c r="L20" s="772">
        <f t="shared" si="15"/>
        <v>0</v>
      </c>
      <c r="M20" s="772">
        <f t="shared" si="16"/>
        <v>0</v>
      </c>
      <c r="N20" s="772">
        <f t="shared" si="17"/>
        <v>313055</v>
      </c>
      <c r="O20" s="772">
        <f t="shared" si="18"/>
        <v>0</v>
      </c>
      <c r="P20" s="772">
        <f t="shared" si="19"/>
        <v>0</v>
      </c>
      <c r="Q20" s="772">
        <f t="shared" si="20"/>
        <v>0</v>
      </c>
      <c r="R20" s="772">
        <f t="shared" si="21"/>
        <v>0</v>
      </c>
      <c r="S20" s="772">
        <f t="shared" si="22"/>
        <v>45608</v>
      </c>
      <c r="T20" s="772">
        <f t="shared" si="23"/>
        <v>0</v>
      </c>
      <c r="U20" s="772">
        <f t="shared" si="24"/>
        <v>0</v>
      </c>
      <c r="V20" s="772">
        <f t="shared" si="25"/>
        <v>127995</v>
      </c>
      <c r="W20" s="772">
        <f t="shared" si="26"/>
        <v>62467</v>
      </c>
      <c r="X20" s="403">
        <f t="shared" si="1"/>
        <v>618226</v>
      </c>
      <c r="Y20" s="3">
        <f>'t1'!M20</f>
        <v>31</v>
      </c>
      <c r="AA20" s="184">
        <v>0</v>
      </c>
      <c r="AB20" s="184">
        <v>0</v>
      </c>
      <c r="AC20" s="184">
        <v>0</v>
      </c>
      <c r="AD20" s="184">
        <v>0</v>
      </c>
      <c r="AE20" s="184">
        <v>0</v>
      </c>
      <c r="AF20" s="185">
        <v>69101</v>
      </c>
      <c r="AG20" s="185">
        <v>0</v>
      </c>
      <c r="AH20" s="185">
        <v>0</v>
      </c>
      <c r="AI20" s="185">
        <v>0</v>
      </c>
      <c r="AJ20" s="185">
        <v>0</v>
      </c>
      <c r="AK20" s="185">
        <v>0</v>
      </c>
      <c r="AL20" s="185">
        <v>313055</v>
      </c>
      <c r="AM20" s="185">
        <v>0</v>
      </c>
      <c r="AN20" s="185">
        <v>0</v>
      </c>
      <c r="AO20" s="185">
        <v>0</v>
      </c>
      <c r="AP20" s="185">
        <v>0</v>
      </c>
      <c r="AQ20" s="185">
        <v>45608</v>
      </c>
      <c r="AR20" s="185">
        <v>0</v>
      </c>
      <c r="AS20" s="185">
        <v>0</v>
      </c>
      <c r="AT20" s="185">
        <v>127995</v>
      </c>
      <c r="AU20" s="185">
        <v>62467</v>
      </c>
      <c r="AV20" s="403">
        <f t="shared" si="2"/>
        <v>618226</v>
      </c>
      <c r="AW20" s="3">
        <f>'t1'!AR20</f>
        <v>0</v>
      </c>
      <c r="CA20" s="887" t="s">
        <v>298</v>
      </c>
    </row>
    <row r="21" spans="1:79" ht="12.75" customHeight="1" x14ac:dyDescent="0.2">
      <c r="A21" s="129" t="str">
        <f>'t1'!A21</f>
        <v>POSIZIONE ECONOMICA B3</v>
      </c>
      <c r="B21" s="195" t="str">
        <f>'t1'!B21</f>
        <v>034000</v>
      </c>
      <c r="C21" s="771">
        <f t="shared" si="6"/>
        <v>0</v>
      </c>
      <c r="D21" s="771">
        <f t="shared" si="7"/>
        <v>0</v>
      </c>
      <c r="E21" s="771">
        <f t="shared" si="8"/>
        <v>0</v>
      </c>
      <c r="F21" s="761">
        <f t="shared" si="9"/>
        <v>0</v>
      </c>
      <c r="G21" s="772">
        <f t="shared" si="10"/>
        <v>0</v>
      </c>
      <c r="H21" s="772">
        <f t="shared" si="11"/>
        <v>21795</v>
      </c>
      <c r="I21" s="772">
        <f t="shared" si="12"/>
        <v>0</v>
      </c>
      <c r="J21" s="772">
        <f t="shared" si="13"/>
        <v>0</v>
      </c>
      <c r="K21" s="772">
        <f t="shared" si="14"/>
        <v>0</v>
      </c>
      <c r="L21" s="772">
        <f t="shared" si="15"/>
        <v>0</v>
      </c>
      <c r="M21" s="772">
        <f t="shared" si="16"/>
        <v>0</v>
      </c>
      <c r="N21" s="772">
        <f t="shared" si="17"/>
        <v>7222</v>
      </c>
      <c r="O21" s="772">
        <f t="shared" si="18"/>
        <v>0</v>
      </c>
      <c r="P21" s="772">
        <f t="shared" si="19"/>
        <v>0</v>
      </c>
      <c r="Q21" s="772">
        <f t="shared" si="20"/>
        <v>0</v>
      </c>
      <c r="R21" s="772">
        <f t="shared" si="21"/>
        <v>0</v>
      </c>
      <c r="S21" s="772">
        <f t="shared" si="22"/>
        <v>10254</v>
      </c>
      <c r="T21" s="772">
        <f t="shared" si="23"/>
        <v>0</v>
      </c>
      <c r="U21" s="772">
        <f t="shared" si="24"/>
        <v>0</v>
      </c>
      <c r="V21" s="772">
        <f t="shared" si="25"/>
        <v>19554</v>
      </c>
      <c r="W21" s="772">
        <f t="shared" si="26"/>
        <v>6908</v>
      </c>
      <c r="X21" s="403">
        <f t="shared" si="1"/>
        <v>65733</v>
      </c>
      <c r="Y21" s="3">
        <f>'t1'!M21</f>
        <v>13</v>
      </c>
      <c r="AA21" s="184">
        <v>0</v>
      </c>
      <c r="AB21" s="184">
        <v>0</v>
      </c>
      <c r="AC21" s="184">
        <v>0</v>
      </c>
      <c r="AD21" s="181">
        <v>0</v>
      </c>
      <c r="AE21" s="185">
        <v>0</v>
      </c>
      <c r="AF21" s="185">
        <v>21795</v>
      </c>
      <c r="AG21" s="185">
        <v>0</v>
      </c>
      <c r="AH21" s="185">
        <v>0</v>
      </c>
      <c r="AI21" s="185">
        <v>0</v>
      </c>
      <c r="AJ21" s="185">
        <v>0</v>
      </c>
      <c r="AK21" s="185">
        <v>0</v>
      </c>
      <c r="AL21" s="185">
        <v>7222</v>
      </c>
      <c r="AM21" s="185">
        <v>0</v>
      </c>
      <c r="AN21" s="185">
        <v>0</v>
      </c>
      <c r="AO21" s="185">
        <v>0</v>
      </c>
      <c r="AP21" s="185">
        <v>0</v>
      </c>
      <c r="AQ21" s="185">
        <v>10254</v>
      </c>
      <c r="AR21" s="185">
        <v>0</v>
      </c>
      <c r="AS21" s="185">
        <v>0</v>
      </c>
      <c r="AT21" s="185">
        <v>19554</v>
      </c>
      <c r="AU21" s="185">
        <v>6908</v>
      </c>
      <c r="AV21" s="403">
        <f t="shared" si="2"/>
        <v>65733</v>
      </c>
      <c r="AW21" s="3">
        <f>'t1'!AR21</f>
        <v>0</v>
      </c>
      <c r="CA21" s="887" t="s">
        <v>298</v>
      </c>
    </row>
    <row r="22" spans="1:79" ht="12.75" customHeight="1" x14ac:dyDescent="0.2">
      <c r="A22" s="129" t="str">
        <f>'t1'!A22</f>
        <v>POSIZIONE ECONOMICA B2S</v>
      </c>
      <c r="B22" s="195" t="str">
        <f>'t1'!B22</f>
        <v>033000</v>
      </c>
      <c r="C22" s="771">
        <f t="shared" si="6"/>
        <v>0</v>
      </c>
      <c r="D22" s="771">
        <f t="shared" si="7"/>
        <v>0</v>
      </c>
      <c r="E22" s="771">
        <f t="shared" si="8"/>
        <v>0</v>
      </c>
      <c r="F22" s="761">
        <f t="shared" si="9"/>
        <v>0</v>
      </c>
      <c r="G22" s="772">
        <f t="shared" si="10"/>
        <v>0</v>
      </c>
      <c r="H22" s="772">
        <f t="shared" si="11"/>
        <v>8777</v>
      </c>
      <c r="I22" s="772">
        <f t="shared" si="12"/>
        <v>0</v>
      </c>
      <c r="J22" s="772">
        <f t="shared" si="13"/>
        <v>0</v>
      </c>
      <c r="K22" s="772">
        <f t="shared" si="14"/>
        <v>0</v>
      </c>
      <c r="L22" s="772">
        <f t="shared" si="15"/>
        <v>0</v>
      </c>
      <c r="M22" s="772">
        <f t="shared" si="16"/>
        <v>0</v>
      </c>
      <c r="N22" s="772">
        <f t="shared" si="17"/>
        <v>0</v>
      </c>
      <c r="O22" s="772">
        <f t="shared" si="18"/>
        <v>0</v>
      </c>
      <c r="P22" s="772">
        <f t="shared" si="19"/>
        <v>0</v>
      </c>
      <c r="Q22" s="772">
        <f t="shared" si="20"/>
        <v>0</v>
      </c>
      <c r="R22" s="772">
        <f t="shared" si="21"/>
        <v>0</v>
      </c>
      <c r="S22" s="772">
        <f t="shared" si="22"/>
        <v>4480</v>
      </c>
      <c r="T22" s="772">
        <f t="shared" si="23"/>
        <v>0</v>
      </c>
      <c r="U22" s="772">
        <f t="shared" si="24"/>
        <v>0</v>
      </c>
      <c r="V22" s="772">
        <f t="shared" si="25"/>
        <v>0</v>
      </c>
      <c r="W22" s="772">
        <f t="shared" si="26"/>
        <v>129</v>
      </c>
      <c r="X22" s="403">
        <f t="shared" si="1"/>
        <v>13386</v>
      </c>
      <c r="Y22" s="3">
        <f>'t1'!M22</f>
        <v>5</v>
      </c>
      <c r="AA22" s="184">
        <v>0</v>
      </c>
      <c r="AB22" s="184">
        <v>0</v>
      </c>
      <c r="AC22" s="184">
        <v>0</v>
      </c>
      <c r="AD22" s="181">
        <v>0</v>
      </c>
      <c r="AE22" s="185">
        <v>0</v>
      </c>
      <c r="AF22" s="185">
        <v>8777</v>
      </c>
      <c r="AG22" s="185">
        <v>0</v>
      </c>
      <c r="AH22" s="185">
        <v>0</v>
      </c>
      <c r="AI22" s="185">
        <v>0</v>
      </c>
      <c r="AJ22" s="185">
        <v>0</v>
      </c>
      <c r="AK22" s="185">
        <v>0</v>
      </c>
      <c r="AL22" s="185">
        <v>0</v>
      </c>
      <c r="AM22" s="185">
        <v>0</v>
      </c>
      <c r="AN22" s="185">
        <v>0</v>
      </c>
      <c r="AO22" s="185">
        <v>0</v>
      </c>
      <c r="AP22" s="185">
        <v>0</v>
      </c>
      <c r="AQ22" s="185">
        <v>4480</v>
      </c>
      <c r="AR22" s="185">
        <v>0</v>
      </c>
      <c r="AS22" s="185">
        <v>0</v>
      </c>
      <c r="AT22" s="185"/>
      <c r="AU22" s="185">
        <v>129</v>
      </c>
      <c r="AV22" s="403">
        <f t="shared" si="2"/>
        <v>13386</v>
      </c>
      <c r="AW22" s="3">
        <f>'t1'!AR22</f>
        <v>0</v>
      </c>
      <c r="CA22" s="887" t="s">
        <v>298</v>
      </c>
    </row>
    <row r="23" spans="1:79" ht="12.75" customHeight="1" x14ac:dyDescent="0.2">
      <c r="A23" s="129" t="str">
        <f>'t1'!A23</f>
        <v>POSIZIONE ECONOMICA B2</v>
      </c>
      <c r="B23" s="195" t="str">
        <f>'t1'!B23</f>
        <v>032000</v>
      </c>
      <c r="C23" s="771">
        <f t="shared" si="6"/>
        <v>0</v>
      </c>
      <c r="D23" s="771">
        <f t="shared" si="7"/>
        <v>0</v>
      </c>
      <c r="E23" s="771">
        <f t="shared" si="8"/>
        <v>0</v>
      </c>
      <c r="F23" s="761">
        <f t="shared" si="9"/>
        <v>0</v>
      </c>
      <c r="G23" s="772">
        <f t="shared" si="10"/>
        <v>0</v>
      </c>
      <c r="H23" s="772">
        <f t="shared" si="11"/>
        <v>926582</v>
      </c>
      <c r="I23" s="772">
        <f t="shared" si="12"/>
        <v>0</v>
      </c>
      <c r="J23" s="772">
        <f t="shared" si="13"/>
        <v>0</v>
      </c>
      <c r="K23" s="772">
        <f t="shared" si="14"/>
        <v>0</v>
      </c>
      <c r="L23" s="772">
        <f t="shared" si="15"/>
        <v>119440</v>
      </c>
      <c r="M23" s="772">
        <f t="shared" si="16"/>
        <v>0</v>
      </c>
      <c r="N23" s="772">
        <f t="shared" si="17"/>
        <v>190175</v>
      </c>
      <c r="O23" s="772">
        <f t="shared" si="18"/>
        <v>0</v>
      </c>
      <c r="P23" s="772">
        <f t="shared" si="19"/>
        <v>0</v>
      </c>
      <c r="Q23" s="772">
        <f t="shared" si="20"/>
        <v>6754</v>
      </c>
      <c r="R23" s="772">
        <f t="shared" si="21"/>
        <v>0</v>
      </c>
      <c r="S23" s="772">
        <f t="shared" si="22"/>
        <v>504182</v>
      </c>
      <c r="T23" s="772">
        <f t="shared" si="23"/>
        <v>0</v>
      </c>
      <c r="U23" s="772">
        <f t="shared" si="24"/>
        <v>0</v>
      </c>
      <c r="V23" s="772">
        <f t="shared" si="25"/>
        <v>465853</v>
      </c>
      <c r="W23" s="772">
        <f t="shared" si="26"/>
        <v>158179</v>
      </c>
      <c r="X23" s="403">
        <f t="shared" si="1"/>
        <v>2371165</v>
      </c>
      <c r="Y23" s="3">
        <f>'t1'!M23</f>
        <v>516</v>
      </c>
      <c r="AA23" s="184">
        <v>0</v>
      </c>
      <c r="AB23" s="184">
        <v>0</v>
      </c>
      <c r="AC23" s="184">
        <v>0</v>
      </c>
      <c r="AD23" s="181">
        <v>0</v>
      </c>
      <c r="AE23" s="185"/>
      <c r="AF23" s="185">
        <v>926582</v>
      </c>
      <c r="AG23" s="185">
        <v>0</v>
      </c>
      <c r="AH23" s="185">
        <v>0</v>
      </c>
      <c r="AI23" s="185">
        <v>0</v>
      </c>
      <c r="AJ23" s="185">
        <v>119440</v>
      </c>
      <c r="AK23" s="185">
        <v>0</v>
      </c>
      <c r="AL23" s="185">
        <v>190175</v>
      </c>
      <c r="AM23" s="185">
        <v>0</v>
      </c>
      <c r="AN23" s="185">
        <v>0</v>
      </c>
      <c r="AO23" s="185">
        <v>6754</v>
      </c>
      <c r="AP23" s="185">
        <v>0</v>
      </c>
      <c r="AQ23" s="185">
        <v>504182</v>
      </c>
      <c r="AR23" s="185">
        <v>0</v>
      </c>
      <c r="AS23" s="185">
        <v>0</v>
      </c>
      <c r="AT23" s="185">
        <v>465853</v>
      </c>
      <c r="AU23" s="185">
        <v>158179</v>
      </c>
      <c r="AV23" s="403">
        <f t="shared" si="2"/>
        <v>2371165</v>
      </c>
      <c r="AW23" s="3">
        <f>'t1'!AR23</f>
        <v>0</v>
      </c>
      <c r="CA23" s="887" t="s">
        <v>298</v>
      </c>
    </row>
    <row r="24" spans="1:79" ht="12.75" customHeight="1" x14ac:dyDescent="0.2">
      <c r="A24" s="129" t="str">
        <f>'t1'!A24</f>
        <v>POSIZIONE ECONOMICA B1</v>
      </c>
      <c r="B24" s="195" t="str">
        <f>'t1'!B24</f>
        <v>030000</v>
      </c>
      <c r="C24" s="771">
        <f t="shared" si="6"/>
        <v>0</v>
      </c>
      <c r="D24" s="771">
        <f t="shared" si="7"/>
        <v>0</v>
      </c>
      <c r="E24" s="771">
        <f t="shared" si="8"/>
        <v>0</v>
      </c>
      <c r="F24" s="761">
        <f t="shared" si="9"/>
        <v>0</v>
      </c>
      <c r="G24" s="761">
        <f t="shared" si="10"/>
        <v>0</v>
      </c>
      <c r="H24" s="772">
        <f t="shared" si="11"/>
        <v>43110</v>
      </c>
      <c r="I24" s="772">
        <f t="shared" si="12"/>
        <v>0</v>
      </c>
      <c r="J24" s="772">
        <f t="shared" si="13"/>
        <v>0</v>
      </c>
      <c r="K24" s="772">
        <f t="shared" si="14"/>
        <v>0</v>
      </c>
      <c r="L24" s="772">
        <f t="shared" si="15"/>
        <v>0</v>
      </c>
      <c r="M24" s="772">
        <f t="shared" si="16"/>
        <v>0</v>
      </c>
      <c r="N24" s="773">
        <f t="shared" si="17"/>
        <v>18298</v>
      </c>
      <c r="O24" s="772">
        <f t="shared" si="18"/>
        <v>0</v>
      </c>
      <c r="P24" s="772">
        <f t="shared" si="19"/>
        <v>0</v>
      </c>
      <c r="Q24" s="772">
        <f t="shared" si="20"/>
        <v>0</v>
      </c>
      <c r="R24" s="772">
        <f t="shared" si="21"/>
        <v>0</v>
      </c>
      <c r="S24" s="772">
        <f t="shared" si="22"/>
        <v>25633</v>
      </c>
      <c r="T24" s="772">
        <f t="shared" si="23"/>
        <v>0</v>
      </c>
      <c r="U24" s="772">
        <f t="shared" si="24"/>
        <v>0</v>
      </c>
      <c r="V24" s="772">
        <f t="shared" si="25"/>
        <v>8811</v>
      </c>
      <c r="W24" s="772">
        <f t="shared" si="26"/>
        <v>18741</v>
      </c>
      <c r="X24" s="403">
        <f t="shared" si="1"/>
        <v>114593</v>
      </c>
      <c r="Y24" s="3">
        <f>'t1'!M24</f>
        <v>23</v>
      </c>
      <c r="AA24" s="184">
        <v>0</v>
      </c>
      <c r="AB24" s="184">
        <v>0</v>
      </c>
      <c r="AC24" s="184">
        <v>0</v>
      </c>
      <c r="AD24" s="181">
        <v>0</v>
      </c>
      <c r="AE24" s="181">
        <v>0</v>
      </c>
      <c r="AF24" s="185">
        <v>43110</v>
      </c>
      <c r="AG24" s="185">
        <v>0</v>
      </c>
      <c r="AH24" s="185">
        <v>0</v>
      </c>
      <c r="AI24" s="185">
        <v>0</v>
      </c>
      <c r="AJ24" s="185">
        <v>0</v>
      </c>
      <c r="AK24" s="185">
        <v>0</v>
      </c>
      <c r="AL24" s="186">
        <v>18298</v>
      </c>
      <c r="AM24" s="185">
        <v>0</v>
      </c>
      <c r="AN24" s="185">
        <v>0</v>
      </c>
      <c r="AO24" s="185">
        <v>0</v>
      </c>
      <c r="AP24" s="185">
        <v>0</v>
      </c>
      <c r="AQ24" s="185">
        <v>25633</v>
      </c>
      <c r="AR24" s="185">
        <v>0</v>
      </c>
      <c r="AS24" s="185">
        <v>0</v>
      </c>
      <c r="AT24" s="185">
        <v>8811</v>
      </c>
      <c r="AU24" s="185">
        <v>18741</v>
      </c>
      <c r="AV24" s="403">
        <f t="shared" si="2"/>
        <v>114593</v>
      </c>
      <c r="AW24" s="3">
        <f>'t1'!AR24</f>
        <v>0</v>
      </c>
      <c r="CA24" s="887" t="s">
        <v>298</v>
      </c>
    </row>
    <row r="25" spans="1:79" ht="12.75" customHeight="1" x14ac:dyDescent="0.2">
      <c r="A25" s="129" t="str">
        <f>'t1'!A25</f>
        <v>POS. EC. B3-GUARDIA  FORESTALE 5 A.</v>
      </c>
      <c r="B25" s="195" t="str">
        <f>'t1'!B25</f>
        <v>034561</v>
      </c>
      <c r="C25" s="771">
        <f t="shared" si="6"/>
        <v>0</v>
      </c>
      <c r="D25" s="771">
        <f t="shared" si="7"/>
        <v>0</v>
      </c>
      <c r="E25" s="771">
        <f t="shared" si="8"/>
        <v>0</v>
      </c>
      <c r="F25" s="761">
        <f t="shared" si="9"/>
        <v>0</v>
      </c>
      <c r="G25" s="761">
        <f t="shared" si="10"/>
        <v>0</v>
      </c>
      <c r="H25" s="772">
        <f t="shared" si="11"/>
        <v>79890</v>
      </c>
      <c r="I25" s="772">
        <f t="shared" si="12"/>
        <v>369990</v>
      </c>
      <c r="J25" s="772">
        <f t="shared" si="13"/>
        <v>0</v>
      </c>
      <c r="K25" s="772">
        <f t="shared" si="14"/>
        <v>0</v>
      </c>
      <c r="L25" s="772">
        <f t="shared" si="15"/>
        <v>7594</v>
      </c>
      <c r="M25" s="772">
        <f t="shared" si="16"/>
        <v>0</v>
      </c>
      <c r="N25" s="773">
        <f t="shared" si="17"/>
        <v>74775</v>
      </c>
      <c r="O25" s="772">
        <f t="shared" si="18"/>
        <v>0</v>
      </c>
      <c r="P25" s="772">
        <f t="shared" si="19"/>
        <v>0</v>
      </c>
      <c r="Q25" s="772">
        <f t="shared" si="20"/>
        <v>0</v>
      </c>
      <c r="R25" s="772">
        <f t="shared" si="21"/>
        <v>0</v>
      </c>
      <c r="S25" s="772">
        <f t="shared" si="22"/>
        <v>61434</v>
      </c>
      <c r="T25" s="772">
        <f t="shared" si="23"/>
        <v>0</v>
      </c>
      <c r="U25" s="772">
        <f t="shared" si="24"/>
        <v>294467</v>
      </c>
      <c r="V25" s="772">
        <f t="shared" si="25"/>
        <v>74144</v>
      </c>
      <c r="W25" s="772">
        <f t="shared" si="26"/>
        <v>16528</v>
      </c>
      <c r="X25" s="403">
        <f t="shared" si="1"/>
        <v>978822</v>
      </c>
      <c r="Y25" s="3">
        <f>'t1'!M25</f>
        <v>41</v>
      </c>
      <c r="AA25" s="184">
        <v>0</v>
      </c>
      <c r="AB25" s="184">
        <v>0</v>
      </c>
      <c r="AC25" s="184">
        <v>0</v>
      </c>
      <c r="AD25" s="181">
        <v>0</v>
      </c>
      <c r="AE25" s="181">
        <v>0</v>
      </c>
      <c r="AF25" s="185">
        <v>79890</v>
      </c>
      <c r="AG25" s="185">
        <v>369990</v>
      </c>
      <c r="AH25" s="185">
        <v>0</v>
      </c>
      <c r="AI25" s="185">
        <v>0</v>
      </c>
      <c r="AJ25" s="185">
        <v>7594</v>
      </c>
      <c r="AK25" s="185">
        <v>0</v>
      </c>
      <c r="AL25" s="186">
        <v>74775</v>
      </c>
      <c r="AM25" s="185">
        <v>0</v>
      </c>
      <c r="AN25" s="185">
        <v>0</v>
      </c>
      <c r="AO25" s="185">
        <v>0</v>
      </c>
      <c r="AP25" s="185">
        <v>0</v>
      </c>
      <c r="AQ25" s="185">
        <v>61434</v>
      </c>
      <c r="AR25" s="185">
        <v>0</v>
      </c>
      <c r="AS25" s="185">
        <v>294467</v>
      </c>
      <c r="AT25" s="185">
        <v>74144</v>
      </c>
      <c r="AU25" s="185">
        <v>16528</v>
      </c>
      <c r="AV25" s="403">
        <f t="shared" si="2"/>
        <v>978822</v>
      </c>
      <c r="AW25" s="3">
        <f>'t1'!AR25</f>
        <v>0</v>
      </c>
      <c r="CA25" s="887" t="s">
        <v>298</v>
      </c>
    </row>
    <row r="26" spans="1:79" ht="12.75" customHeight="1" x14ac:dyDescent="0.2">
      <c r="A26" s="129" t="str">
        <f>'t1'!A26</f>
        <v>POS. EC. B2-GUARDIA  FORESTALE</v>
      </c>
      <c r="B26" s="195" t="str">
        <f>'t1'!B26</f>
        <v>032561</v>
      </c>
      <c r="C26" s="771">
        <f t="shared" ref="C26:C33" si="27">ROUND(AA26,0)</f>
        <v>0</v>
      </c>
      <c r="D26" s="771">
        <f t="shared" ref="D26:D33" si="28">ROUND(AB26,0)</f>
        <v>0</v>
      </c>
      <c r="E26" s="771">
        <f t="shared" ref="E26:E33" si="29">ROUND(AC26,0)</f>
        <v>0</v>
      </c>
      <c r="F26" s="761">
        <f t="shared" ref="F26:F33" si="30">ROUND(AD26,0)</f>
        <v>0</v>
      </c>
      <c r="G26" s="761">
        <f t="shared" ref="G26:G33" si="31">ROUND(AE26,0)</f>
        <v>0</v>
      </c>
      <c r="H26" s="772">
        <f t="shared" ref="H26:H33" si="32">ROUND(AF26,0)</f>
        <v>34968</v>
      </c>
      <c r="I26" s="772">
        <f t="shared" ref="I26:I33" si="33">ROUND(AG26,0)</f>
        <v>132009</v>
      </c>
      <c r="J26" s="772">
        <f t="shared" si="13"/>
        <v>0</v>
      </c>
      <c r="K26" s="772">
        <f t="shared" ref="K26:K33" si="34">ROUND(AI26,0)</f>
        <v>0</v>
      </c>
      <c r="L26" s="772">
        <f t="shared" ref="L26:L33" si="35">ROUND(AJ26,0)</f>
        <v>0</v>
      </c>
      <c r="M26" s="772">
        <f t="shared" ref="M26:M33" si="36">ROUND(AK26,0)</f>
        <v>0</v>
      </c>
      <c r="N26" s="773">
        <f t="shared" ref="N26:N33" si="37">ROUND(AL26,0)</f>
        <v>21852</v>
      </c>
      <c r="O26" s="772">
        <f t="shared" ref="O26:O33" si="38">ROUND(AM26,0)</f>
        <v>0</v>
      </c>
      <c r="P26" s="772">
        <f t="shared" ref="P26:P33" si="39">ROUND(AN26,0)</f>
        <v>0</v>
      </c>
      <c r="Q26" s="772">
        <f t="shared" ref="Q26:Q33" si="40">ROUND(AO26,0)</f>
        <v>0</v>
      </c>
      <c r="R26" s="772">
        <f t="shared" si="21"/>
        <v>0</v>
      </c>
      <c r="S26" s="772">
        <f t="shared" ref="S26:S33" si="41">ROUND(AQ26,0)</f>
        <v>12064</v>
      </c>
      <c r="T26" s="772">
        <f t="shared" ref="T26:T33" si="42">ROUND(AR26,0)</f>
        <v>0</v>
      </c>
      <c r="U26" s="772">
        <f t="shared" ref="U26:U33" si="43">ROUND(AS26,0)</f>
        <v>0</v>
      </c>
      <c r="V26" s="772">
        <f t="shared" ref="V26:V33" si="44">ROUND(AT26,0)</f>
        <v>34778</v>
      </c>
      <c r="W26" s="772">
        <f t="shared" ref="W26:W33" si="45">ROUND(AU26,0)</f>
        <v>8192</v>
      </c>
      <c r="X26" s="403">
        <f t="shared" si="1"/>
        <v>243863</v>
      </c>
      <c r="Y26" s="3">
        <f>'t1'!M26</f>
        <v>24</v>
      </c>
      <c r="AA26" s="184">
        <v>0</v>
      </c>
      <c r="AB26" s="184">
        <v>0</v>
      </c>
      <c r="AC26" s="184">
        <v>0</v>
      </c>
      <c r="AD26" s="181">
        <v>0</v>
      </c>
      <c r="AE26" s="181"/>
      <c r="AF26" s="185">
        <v>34968</v>
      </c>
      <c r="AG26" s="185">
        <v>132009</v>
      </c>
      <c r="AH26" s="185">
        <v>0</v>
      </c>
      <c r="AI26" s="185">
        <v>0</v>
      </c>
      <c r="AJ26" s="185">
        <v>0</v>
      </c>
      <c r="AK26" s="185">
        <v>0</v>
      </c>
      <c r="AL26" s="186">
        <v>21852</v>
      </c>
      <c r="AM26" s="185">
        <v>0</v>
      </c>
      <c r="AN26" s="185">
        <v>0</v>
      </c>
      <c r="AO26" s="185">
        <v>0</v>
      </c>
      <c r="AP26" s="185">
        <v>0</v>
      </c>
      <c r="AQ26" s="185">
        <v>12064</v>
      </c>
      <c r="AR26" s="185">
        <v>0</v>
      </c>
      <c r="AS26" s="185">
        <v>0</v>
      </c>
      <c r="AT26" s="185">
        <v>34778</v>
      </c>
      <c r="AU26" s="185">
        <v>8192</v>
      </c>
      <c r="AV26" s="403">
        <f t="shared" si="2"/>
        <v>243863</v>
      </c>
      <c r="AW26" s="3">
        <f>'t1'!AR26</f>
        <v>0</v>
      </c>
      <c r="CA26" s="887" t="s">
        <v>298</v>
      </c>
    </row>
    <row r="27" spans="1:79" ht="12.75" customHeight="1" x14ac:dyDescent="0.2">
      <c r="A27" s="129" t="str">
        <f>'t1'!A27</f>
        <v>POSIZIONE ECONOMICA B1 - FORESTALE</v>
      </c>
      <c r="B27" s="195" t="str">
        <f>'t1'!B27</f>
        <v>030FOR</v>
      </c>
      <c r="C27" s="771">
        <f t="shared" si="27"/>
        <v>0</v>
      </c>
      <c r="D27" s="771">
        <f t="shared" si="28"/>
        <v>0</v>
      </c>
      <c r="E27" s="771">
        <f t="shared" si="29"/>
        <v>0</v>
      </c>
      <c r="F27" s="761">
        <f t="shared" si="30"/>
        <v>0</v>
      </c>
      <c r="G27" s="761">
        <f t="shared" si="31"/>
        <v>0</v>
      </c>
      <c r="H27" s="772">
        <f t="shared" si="32"/>
        <v>0</v>
      </c>
      <c r="I27" s="772">
        <f t="shared" si="33"/>
        <v>0</v>
      </c>
      <c r="J27" s="772">
        <f t="shared" si="13"/>
        <v>0</v>
      </c>
      <c r="K27" s="772">
        <f t="shared" si="34"/>
        <v>0</v>
      </c>
      <c r="L27" s="772">
        <f t="shared" si="35"/>
        <v>0</v>
      </c>
      <c r="M27" s="772">
        <f t="shared" si="36"/>
        <v>0</v>
      </c>
      <c r="N27" s="773">
        <f t="shared" si="37"/>
        <v>0</v>
      </c>
      <c r="O27" s="772">
        <f t="shared" si="38"/>
        <v>0</v>
      </c>
      <c r="P27" s="772">
        <f t="shared" si="39"/>
        <v>0</v>
      </c>
      <c r="Q27" s="772">
        <f t="shared" si="40"/>
        <v>0</v>
      </c>
      <c r="R27" s="772">
        <f t="shared" si="21"/>
        <v>0</v>
      </c>
      <c r="S27" s="772">
        <f t="shared" si="41"/>
        <v>0</v>
      </c>
      <c r="T27" s="772">
        <f t="shared" si="42"/>
        <v>0</v>
      </c>
      <c r="U27" s="772">
        <f t="shared" si="43"/>
        <v>0</v>
      </c>
      <c r="V27" s="772">
        <f t="shared" si="44"/>
        <v>0</v>
      </c>
      <c r="W27" s="772">
        <f t="shared" si="45"/>
        <v>0</v>
      </c>
      <c r="X27" s="403">
        <f t="shared" si="1"/>
        <v>0</v>
      </c>
      <c r="Y27" s="3">
        <f>'t1'!M27</f>
        <v>0</v>
      </c>
      <c r="AA27" s="184">
        <v>0</v>
      </c>
      <c r="AB27" s="184">
        <v>0</v>
      </c>
      <c r="AC27" s="184">
        <v>0</v>
      </c>
      <c r="AD27" s="181">
        <v>0</v>
      </c>
      <c r="AE27" s="181">
        <v>0</v>
      </c>
      <c r="AF27" s="185">
        <v>0</v>
      </c>
      <c r="AG27" s="185">
        <v>0</v>
      </c>
      <c r="AH27" s="185">
        <v>0</v>
      </c>
      <c r="AI27" s="185">
        <v>0</v>
      </c>
      <c r="AJ27" s="185">
        <v>0</v>
      </c>
      <c r="AK27" s="185">
        <v>0</v>
      </c>
      <c r="AL27" s="186">
        <v>0</v>
      </c>
      <c r="AM27" s="185">
        <v>0</v>
      </c>
      <c r="AN27" s="185">
        <v>0</v>
      </c>
      <c r="AO27" s="185">
        <v>0</v>
      </c>
      <c r="AP27" s="185">
        <v>0</v>
      </c>
      <c r="AQ27" s="185">
        <v>0</v>
      </c>
      <c r="AR27" s="185">
        <v>0</v>
      </c>
      <c r="AS27" s="185">
        <v>0</v>
      </c>
      <c r="AT27" s="185">
        <v>0</v>
      </c>
      <c r="AU27" s="185">
        <v>0</v>
      </c>
      <c r="AV27" s="403">
        <f t="shared" si="2"/>
        <v>0</v>
      </c>
      <c r="AW27" s="3">
        <f>'t1'!AR27</f>
        <v>0</v>
      </c>
      <c r="CA27" s="887" t="s">
        <v>298</v>
      </c>
    </row>
    <row r="28" spans="1:79" ht="12.75" customHeight="1" x14ac:dyDescent="0.2">
      <c r="A28" s="129" t="str">
        <f>'t1'!A28</f>
        <v>POSIZIONE ECONOMICA B3  VIGILE DEL FUOCO &gt; 5 ANNI</v>
      </c>
      <c r="B28" s="195" t="str">
        <f>'t1'!B28</f>
        <v>034VF5</v>
      </c>
      <c r="C28" s="771">
        <f t="shared" si="27"/>
        <v>0</v>
      </c>
      <c r="D28" s="771">
        <f t="shared" si="28"/>
        <v>0</v>
      </c>
      <c r="E28" s="771">
        <f t="shared" si="29"/>
        <v>0</v>
      </c>
      <c r="F28" s="761">
        <f t="shared" si="30"/>
        <v>0</v>
      </c>
      <c r="G28" s="761">
        <f t="shared" si="31"/>
        <v>0</v>
      </c>
      <c r="H28" s="772">
        <f t="shared" si="32"/>
        <v>169438</v>
      </c>
      <c r="I28" s="772">
        <f t="shared" si="33"/>
        <v>0</v>
      </c>
      <c r="J28" s="772">
        <f t="shared" si="13"/>
        <v>0</v>
      </c>
      <c r="K28" s="772">
        <f t="shared" si="34"/>
        <v>0</v>
      </c>
      <c r="L28" s="772">
        <f t="shared" si="35"/>
        <v>0</v>
      </c>
      <c r="M28" s="772">
        <f t="shared" si="36"/>
        <v>0</v>
      </c>
      <c r="N28" s="773">
        <f t="shared" si="37"/>
        <v>806296</v>
      </c>
      <c r="O28" s="772">
        <f t="shared" si="38"/>
        <v>0</v>
      </c>
      <c r="P28" s="772">
        <f t="shared" si="39"/>
        <v>0</v>
      </c>
      <c r="Q28" s="772">
        <f t="shared" si="40"/>
        <v>0</v>
      </c>
      <c r="R28" s="772">
        <f t="shared" si="21"/>
        <v>0</v>
      </c>
      <c r="S28" s="772">
        <f t="shared" si="41"/>
        <v>125853</v>
      </c>
      <c r="T28" s="772">
        <f t="shared" si="42"/>
        <v>0</v>
      </c>
      <c r="U28" s="772">
        <f t="shared" si="43"/>
        <v>0</v>
      </c>
      <c r="V28" s="772">
        <f t="shared" si="44"/>
        <v>243501</v>
      </c>
      <c r="W28" s="772">
        <f t="shared" si="45"/>
        <v>117979</v>
      </c>
      <c r="X28" s="403">
        <f t="shared" si="1"/>
        <v>1463067</v>
      </c>
      <c r="Y28" s="3">
        <f>'t1'!M28</f>
        <v>99</v>
      </c>
      <c r="AA28" s="184">
        <v>0</v>
      </c>
      <c r="AB28" s="184">
        <v>0</v>
      </c>
      <c r="AC28" s="184">
        <v>0</v>
      </c>
      <c r="AD28" s="181">
        <v>0</v>
      </c>
      <c r="AE28" s="181">
        <v>0</v>
      </c>
      <c r="AF28" s="185">
        <v>169438</v>
      </c>
      <c r="AG28" s="185">
        <v>0</v>
      </c>
      <c r="AH28" s="185">
        <v>0</v>
      </c>
      <c r="AI28" s="185">
        <v>0</v>
      </c>
      <c r="AJ28" s="185">
        <v>0</v>
      </c>
      <c r="AK28" s="185">
        <v>0</v>
      </c>
      <c r="AL28" s="186">
        <v>806296</v>
      </c>
      <c r="AM28" s="185">
        <v>0</v>
      </c>
      <c r="AN28" s="185">
        <v>0</v>
      </c>
      <c r="AO28" s="185">
        <v>0</v>
      </c>
      <c r="AP28" s="185">
        <v>0</v>
      </c>
      <c r="AQ28" s="185">
        <v>125853</v>
      </c>
      <c r="AR28" s="185">
        <v>0</v>
      </c>
      <c r="AS28" s="185">
        <v>0</v>
      </c>
      <c r="AT28" s="185">
        <v>243501</v>
      </c>
      <c r="AU28" s="185">
        <v>117979</v>
      </c>
      <c r="AV28" s="403">
        <f t="shared" si="2"/>
        <v>1463067</v>
      </c>
      <c r="AW28" s="3">
        <f>'t1'!AR28</f>
        <v>0</v>
      </c>
      <c r="CA28" s="887" t="s">
        <v>298</v>
      </c>
    </row>
    <row r="29" spans="1:79" ht="12.75" customHeight="1" x14ac:dyDescent="0.2">
      <c r="A29" s="129" t="str">
        <f>'t1'!A29</f>
        <v>POSIZIONE ECONOMICA B2  VIGILE DEL FUOCO</v>
      </c>
      <c r="B29" s="195" t="str">
        <f>'t1'!B29</f>
        <v>032VF1</v>
      </c>
      <c r="C29" s="771">
        <f t="shared" si="27"/>
        <v>0</v>
      </c>
      <c r="D29" s="771">
        <f t="shared" si="28"/>
        <v>0</v>
      </c>
      <c r="E29" s="771">
        <f t="shared" si="29"/>
        <v>0</v>
      </c>
      <c r="F29" s="761">
        <f t="shared" si="30"/>
        <v>0</v>
      </c>
      <c r="G29" s="761">
        <f t="shared" si="31"/>
        <v>0</v>
      </c>
      <c r="H29" s="772">
        <f t="shared" si="32"/>
        <v>44428</v>
      </c>
      <c r="I29" s="772">
        <f t="shared" si="33"/>
        <v>0</v>
      </c>
      <c r="J29" s="772">
        <f t="shared" si="13"/>
        <v>0</v>
      </c>
      <c r="K29" s="772">
        <f t="shared" si="34"/>
        <v>0</v>
      </c>
      <c r="L29" s="772">
        <f t="shared" si="35"/>
        <v>0</v>
      </c>
      <c r="M29" s="772">
        <f t="shared" si="36"/>
        <v>0</v>
      </c>
      <c r="N29" s="773">
        <f t="shared" si="37"/>
        <v>169980</v>
      </c>
      <c r="O29" s="772">
        <f t="shared" si="38"/>
        <v>0</v>
      </c>
      <c r="P29" s="772">
        <f t="shared" si="39"/>
        <v>0</v>
      </c>
      <c r="Q29" s="772">
        <f t="shared" si="40"/>
        <v>0</v>
      </c>
      <c r="R29" s="772">
        <f t="shared" si="21"/>
        <v>0</v>
      </c>
      <c r="S29" s="772">
        <f t="shared" si="41"/>
        <v>32541</v>
      </c>
      <c r="T29" s="772">
        <f t="shared" si="42"/>
        <v>0</v>
      </c>
      <c r="U29" s="772">
        <f t="shared" si="43"/>
        <v>0</v>
      </c>
      <c r="V29" s="772">
        <f t="shared" si="44"/>
        <v>57245</v>
      </c>
      <c r="W29" s="772">
        <f t="shared" si="45"/>
        <v>34387</v>
      </c>
      <c r="X29" s="403">
        <f t="shared" si="1"/>
        <v>338581</v>
      </c>
      <c r="Y29" s="3">
        <f>'t1'!M29</f>
        <v>19</v>
      </c>
      <c r="AA29" s="184">
        <v>0</v>
      </c>
      <c r="AB29" s="184">
        <v>0</v>
      </c>
      <c r="AC29" s="184">
        <v>0</v>
      </c>
      <c r="AD29" s="181">
        <v>0</v>
      </c>
      <c r="AE29" s="181">
        <v>0</v>
      </c>
      <c r="AF29" s="185">
        <v>44428</v>
      </c>
      <c r="AG29" s="185">
        <v>0</v>
      </c>
      <c r="AH29" s="185">
        <v>0</v>
      </c>
      <c r="AI29" s="185">
        <v>0</v>
      </c>
      <c r="AJ29" s="185">
        <v>0</v>
      </c>
      <c r="AK29" s="185">
        <v>0</v>
      </c>
      <c r="AL29" s="186">
        <v>169980</v>
      </c>
      <c r="AM29" s="185">
        <v>0</v>
      </c>
      <c r="AN29" s="185">
        <v>0</v>
      </c>
      <c r="AO29" s="185">
        <v>0</v>
      </c>
      <c r="AP29" s="185">
        <v>0</v>
      </c>
      <c r="AQ29" s="185">
        <v>32541</v>
      </c>
      <c r="AR29" s="185">
        <v>0</v>
      </c>
      <c r="AS29" s="185">
        <v>0</v>
      </c>
      <c r="AT29" s="185">
        <v>57245</v>
      </c>
      <c r="AU29" s="185">
        <v>34387</v>
      </c>
      <c r="AV29" s="403">
        <f t="shared" si="2"/>
        <v>338581</v>
      </c>
      <c r="AW29" s="3">
        <f>'t1'!AR29</f>
        <v>0</v>
      </c>
      <c r="CA29" s="887" t="s">
        <v>298</v>
      </c>
    </row>
    <row r="30" spans="1:79" ht="12.75" customHeight="1" x14ac:dyDescent="0.2">
      <c r="A30" s="129" t="str">
        <f>'t1'!A30</f>
        <v>POSIZIONE ECONOMICA A</v>
      </c>
      <c r="B30" s="195" t="str">
        <f>'t1'!B30</f>
        <v>022000</v>
      </c>
      <c r="C30" s="771">
        <f t="shared" si="27"/>
        <v>0</v>
      </c>
      <c r="D30" s="771">
        <f t="shared" si="28"/>
        <v>0</v>
      </c>
      <c r="E30" s="771">
        <f t="shared" si="29"/>
        <v>0</v>
      </c>
      <c r="F30" s="761">
        <f t="shared" si="30"/>
        <v>0</v>
      </c>
      <c r="G30" s="761">
        <f t="shared" si="31"/>
        <v>0</v>
      </c>
      <c r="H30" s="772">
        <f t="shared" si="32"/>
        <v>383167</v>
      </c>
      <c r="I30" s="772">
        <f t="shared" si="33"/>
        <v>0</v>
      </c>
      <c r="J30" s="772">
        <f t="shared" si="13"/>
        <v>0</v>
      </c>
      <c r="K30" s="772">
        <f t="shared" si="34"/>
        <v>0</v>
      </c>
      <c r="L30" s="772">
        <f t="shared" si="35"/>
        <v>79479</v>
      </c>
      <c r="M30" s="772">
        <f t="shared" si="36"/>
        <v>0</v>
      </c>
      <c r="N30" s="773">
        <f t="shared" si="37"/>
        <v>72115</v>
      </c>
      <c r="O30" s="772">
        <f t="shared" si="38"/>
        <v>0</v>
      </c>
      <c r="P30" s="772">
        <f t="shared" si="39"/>
        <v>0</v>
      </c>
      <c r="Q30" s="772">
        <f t="shared" si="40"/>
        <v>0</v>
      </c>
      <c r="R30" s="772">
        <f t="shared" si="21"/>
        <v>0</v>
      </c>
      <c r="S30" s="772">
        <f t="shared" si="41"/>
        <v>141629</v>
      </c>
      <c r="T30" s="772">
        <f t="shared" si="42"/>
        <v>0</v>
      </c>
      <c r="U30" s="772">
        <f t="shared" si="43"/>
        <v>0</v>
      </c>
      <c r="V30" s="772">
        <f t="shared" si="44"/>
        <v>47554</v>
      </c>
      <c r="W30" s="772">
        <f t="shared" si="45"/>
        <v>25219</v>
      </c>
      <c r="X30" s="403">
        <f t="shared" si="1"/>
        <v>749163</v>
      </c>
      <c r="Y30" s="3">
        <f>'t1'!M30</f>
        <v>220</v>
      </c>
      <c r="AA30" s="184">
        <v>0</v>
      </c>
      <c r="AB30" s="184">
        <v>0</v>
      </c>
      <c r="AC30" s="184">
        <v>0</v>
      </c>
      <c r="AD30" s="181">
        <v>0</v>
      </c>
      <c r="AE30" s="181"/>
      <c r="AF30" s="185">
        <v>383167</v>
      </c>
      <c r="AG30" s="185">
        <v>0</v>
      </c>
      <c r="AH30" s="185">
        <v>0</v>
      </c>
      <c r="AI30" s="185">
        <v>0</v>
      </c>
      <c r="AJ30" s="185">
        <v>79479</v>
      </c>
      <c r="AK30" s="185">
        <v>0</v>
      </c>
      <c r="AL30" s="186">
        <v>72115</v>
      </c>
      <c r="AM30" s="185">
        <v>0</v>
      </c>
      <c r="AN30" s="185">
        <v>0</v>
      </c>
      <c r="AO30" s="185">
        <v>0</v>
      </c>
      <c r="AP30" s="185">
        <v>0</v>
      </c>
      <c r="AQ30" s="185">
        <v>141629</v>
      </c>
      <c r="AR30" s="185">
        <v>0</v>
      </c>
      <c r="AS30" s="185">
        <v>0</v>
      </c>
      <c r="AT30" s="185">
        <v>47554</v>
      </c>
      <c r="AU30" s="185">
        <v>25219</v>
      </c>
      <c r="AV30" s="403">
        <f t="shared" si="2"/>
        <v>749163</v>
      </c>
      <c r="AW30" s="3">
        <f>'t1'!AR30</f>
        <v>0</v>
      </c>
      <c r="CA30" s="887" t="s">
        <v>298</v>
      </c>
    </row>
    <row r="31" spans="1:79" ht="12.75" customHeight="1" x14ac:dyDescent="0.2">
      <c r="A31" s="129" t="str">
        <f>'t1'!A31</f>
        <v>CONTRATTISTI</v>
      </c>
      <c r="B31" s="195" t="str">
        <f>'t1'!B31</f>
        <v>000061</v>
      </c>
      <c r="C31" s="771">
        <f t="shared" si="27"/>
        <v>0</v>
      </c>
      <c r="D31" s="771">
        <f t="shared" si="28"/>
        <v>0</v>
      </c>
      <c r="E31" s="771">
        <f t="shared" si="29"/>
        <v>0</v>
      </c>
      <c r="F31" s="761">
        <f t="shared" si="30"/>
        <v>0</v>
      </c>
      <c r="G31" s="761">
        <f t="shared" si="31"/>
        <v>71267</v>
      </c>
      <c r="H31" s="772">
        <f t="shared" si="32"/>
        <v>0</v>
      </c>
      <c r="I31" s="772">
        <f t="shared" si="33"/>
        <v>0</v>
      </c>
      <c r="J31" s="772">
        <f t="shared" si="13"/>
        <v>0</v>
      </c>
      <c r="K31" s="772">
        <f t="shared" si="34"/>
        <v>0</v>
      </c>
      <c r="L31" s="772">
        <f t="shared" si="35"/>
        <v>0</v>
      </c>
      <c r="M31" s="772">
        <f t="shared" si="36"/>
        <v>0</v>
      </c>
      <c r="N31" s="773">
        <f t="shared" si="37"/>
        <v>78303</v>
      </c>
      <c r="O31" s="772">
        <f t="shared" si="38"/>
        <v>0</v>
      </c>
      <c r="P31" s="772">
        <f t="shared" si="39"/>
        <v>0</v>
      </c>
      <c r="Q31" s="772">
        <f t="shared" si="40"/>
        <v>2879</v>
      </c>
      <c r="R31" s="772">
        <f t="shared" si="21"/>
        <v>0</v>
      </c>
      <c r="S31" s="772">
        <f t="shared" si="41"/>
        <v>0</v>
      </c>
      <c r="T31" s="772">
        <f t="shared" si="42"/>
        <v>0</v>
      </c>
      <c r="U31" s="772">
        <f t="shared" si="43"/>
        <v>0</v>
      </c>
      <c r="V31" s="772">
        <f t="shared" si="44"/>
        <v>14817</v>
      </c>
      <c r="W31" s="772">
        <f t="shared" si="45"/>
        <v>0</v>
      </c>
      <c r="X31" s="403">
        <f t="shared" si="1"/>
        <v>167266</v>
      </c>
      <c r="Y31" s="3">
        <f>'t1'!M31</f>
        <v>128</v>
      </c>
      <c r="AA31" s="184">
        <v>0</v>
      </c>
      <c r="AB31" s="184">
        <v>0</v>
      </c>
      <c r="AC31" s="184">
        <v>0</v>
      </c>
      <c r="AD31" s="181">
        <v>0</v>
      </c>
      <c r="AE31" s="181">
        <v>71267</v>
      </c>
      <c r="AF31" s="185">
        <v>0</v>
      </c>
      <c r="AG31" s="185">
        <v>0</v>
      </c>
      <c r="AH31" s="185">
        <v>0</v>
      </c>
      <c r="AI31" s="185">
        <v>0</v>
      </c>
      <c r="AJ31" s="185">
        <v>0</v>
      </c>
      <c r="AK31" s="185">
        <v>0</v>
      </c>
      <c r="AL31" s="186">
        <v>78303</v>
      </c>
      <c r="AM31" s="185">
        <v>0</v>
      </c>
      <c r="AN31" s="185">
        <v>0</v>
      </c>
      <c r="AO31" s="185">
        <v>2879</v>
      </c>
      <c r="AP31" s="185">
        <v>0</v>
      </c>
      <c r="AQ31" s="185"/>
      <c r="AR31" s="185">
        <v>0</v>
      </c>
      <c r="AS31" s="185">
        <v>0</v>
      </c>
      <c r="AT31" s="185">
        <f>1385+13432</f>
        <v>14817</v>
      </c>
      <c r="AU31" s="185"/>
      <c r="AV31" s="403">
        <f t="shared" si="2"/>
        <v>167266</v>
      </c>
      <c r="AW31" s="3">
        <f>'t1'!AR31</f>
        <v>0</v>
      </c>
      <c r="CA31" s="887" t="s">
        <v>298</v>
      </c>
    </row>
    <row r="32" spans="1:79" ht="12.75" customHeight="1" x14ac:dyDescent="0.2">
      <c r="A32" s="129" t="str">
        <f>'t1'!A32</f>
        <v>SEGRETARIO GENERALE CCIAA</v>
      </c>
      <c r="B32" s="195" t="str">
        <f>'t1'!B32</f>
        <v>0D0104</v>
      </c>
      <c r="C32" s="771">
        <f t="shared" si="27"/>
        <v>0</v>
      </c>
      <c r="D32" s="771">
        <f t="shared" si="28"/>
        <v>0</v>
      </c>
      <c r="E32" s="771">
        <f t="shared" si="29"/>
        <v>0</v>
      </c>
      <c r="F32" s="761">
        <f t="shared" si="30"/>
        <v>0</v>
      </c>
      <c r="G32" s="761">
        <f t="shared" si="31"/>
        <v>0</v>
      </c>
      <c r="H32" s="772">
        <f t="shared" si="32"/>
        <v>0</v>
      </c>
      <c r="I32" s="772">
        <f t="shared" si="33"/>
        <v>0</v>
      </c>
      <c r="J32" s="772">
        <f t="shared" si="13"/>
        <v>0</v>
      </c>
      <c r="K32" s="772">
        <f t="shared" si="34"/>
        <v>0</v>
      </c>
      <c r="L32" s="772">
        <f t="shared" si="35"/>
        <v>0</v>
      </c>
      <c r="M32" s="772">
        <f t="shared" si="36"/>
        <v>0</v>
      </c>
      <c r="N32" s="773">
        <f t="shared" si="37"/>
        <v>0</v>
      </c>
      <c r="O32" s="772">
        <f t="shared" si="38"/>
        <v>0</v>
      </c>
      <c r="P32" s="772">
        <f t="shared" si="39"/>
        <v>0</v>
      </c>
      <c r="Q32" s="772">
        <f t="shared" si="40"/>
        <v>0</v>
      </c>
      <c r="R32" s="772">
        <f t="shared" si="21"/>
        <v>0</v>
      </c>
      <c r="S32" s="772">
        <f t="shared" si="41"/>
        <v>0</v>
      </c>
      <c r="T32" s="772">
        <f t="shared" si="42"/>
        <v>0</v>
      </c>
      <c r="U32" s="772">
        <f t="shared" si="43"/>
        <v>0</v>
      </c>
      <c r="V32" s="772">
        <f t="shared" si="44"/>
        <v>0</v>
      </c>
      <c r="W32" s="772">
        <f t="shared" si="45"/>
        <v>0</v>
      </c>
      <c r="X32" s="403">
        <f t="shared" si="1"/>
        <v>0</v>
      </c>
      <c r="Y32" s="3">
        <f>'t1'!M32</f>
        <v>0</v>
      </c>
      <c r="AA32" s="184">
        <v>0</v>
      </c>
      <c r="AB32" s="184">
        <v>0</v>
      </c>
      <c r="AC32" s="184">
        <v>0</v>
      </c>
      <c r="AD32" s="181">
        <v>0</v>
      </c>
      <c r="AE32" s="181">
        <v>0</v>
      </c>
      <c r="AF32" s="185">
        <v>0</v>
      </c>
      <c r="AG32" s="185">
        <v>0</v>
      </c>
      <c r="AH32" s="185">
        <v>0</v>
      </c>
      <c r="AI32" s="185">
        <v>0</v>
      </c>
      <c r="AJ32" s="185">
        <v>0</v>
      </c>
      <c r="AK32" s="185">
        <v>0</v>
      </c>
      <c r="AL32" s="186">
        <v>0</v>
      </c>
      <c r="AM32" s="185">
        <v>0</v>
      </c>
      <c r="AN32" s="185">
        <v>0</v>
      </c>
      <c r="AO32" s="185">
        <v>0</v>
      </c>
      <c r="AP32" s="185">
        <v>0</v>
      </c>
      <c r="AQ32" s="185">
        <v>0</v>
      </c>
      <c r="AR32" s="185">
        <v>0</v>
      </c>
      <c r="AS32" s="185">
        <v>0</v>
      </c>
      <c r="AT32" s="185">
        <v>0</v>
      </c>
      <c r="AU32" s="185">
        <v>0</v>
      </c>
      <c r="AV32" s="403">
        <f t="shared" si="2"/>
        <v>0</v>
      </c>
      <c r="AW32" s="3">
        <f>'t1'!AR32</f>
        <v>0</v>
      </c>
      <c r="CA32" s="887" t="s">
        <v>736</v>
      </c>
    </row>
    <row r="33" spans="1:79" ht="12.75" customHeight="1" thickBot="1" x14ac:dyDescent="0.25">
      <c r="A33" s="129" t="str">
        <f>'t1'!A33</f>
        <v>COLLABORATORE A TEMPO DETERMINATO</v>
      </c>
      <c r="B33" s="195" t="str">
        <f>'t1'!B33</f>
        <v>000096</v>
      </c>
      <c r="C33" s="771">
        <f t="shared" si="27"/>
        <v>0</v>
      </c>
      <c r="D33" s="771">
        <f t="shared" si="28"/>
        <v>0</v>
      </c>
      <c r="E33" s="771">
        <f t="shared" si="29"/>
        <v>0</v>
      </c>
      <c r="F33" s="761">
        <f t="shared" si="30"/>
        <v>0</v>
      </c>
      <c r="G33" s="761">
        <f t="shared" si="31"/>
        <v>0</v>
      </c>
      <c r="H33" s="772">
        <f t="shared" si="32"/>
        <v>28217</v>
      </c>
      <c r="I33" s="772">
        <f t="shared" si="33"/>
        <v>0</v>
      </c>
      <c r="J33" s="772">
        <f t="shared" si="13"/>
        <v>0</v>
      </c>
      <c r="K33" s="772">
        <f t="shared" si="34"/>
        <v>0</v>
      </c>
      <c r="L33" s="772">
        <f t="shared" si="35"/>
        <v>0</v>
      </c>
      <c r="M33" s="772">
        <f t="shared" si="36"/>
        <v>0</v>
      </c>
      <c r="N33" s="773">
        <f t="shared" si="37"/>
        <v>0</v>
      </c>
      <c r="O33" s="772">
        <f t="shared" si="38"/>
        <v>0</v>
      </c>
      <c r="P33" s="772">
        <f t="shared" si="39"/>
        <v>0</v>
      </c>
      <c r="Q33" s="772">
        <f t="shared" si="40"/>
        <v>0</v>
      </c>
      <c r="R33" s="772">
        <f t="shared" si="21"/>
        <v>0</v>
      </c>
      <c r="S33" s="772">
        <f t="shared" si="41"/>
        <v>230</v>
      </c>
      <c r="T33" s="772">
        <f t="shared" si="42"/>
        <v>0</v>
      </c>
      <c r="U33" s="772">
        <f t="shared" si="43"/>
        <v>0</v>
      </c>
      <c r="V33" s="772">
        <f t="shared" si="44"/>
        <v>0</v>
      </c>
      <c r="W33" s="772">
        <f t="shared" si="45"/>
        <v>83</v>
      </c>
      <c r="X33" s="403">
        <f t="shared" si="1"/>
        <v>28530</v>
      </c>
      <c r="Y33" s="3">
        <f>'t1'!M33</f>
        <v>11</v>
      </c>
      <c r="AA33" s="184">
        <v>0</v>
      </c>
      <c r="AB33" s="184">
        <v>0</v>
      </c>
      <c r="AC33" s="184">
        <v>0</v>
      </c>
      <c r="AD33" s="181">
        <v>0</v>
      </c>
      <c r="AE33" s="181">
        <v>0</v>
      </c>
      <c r="AF33" s="185">
        <v>28217</v>
      </c>
      <c r="AG33" s="185">
        <v>0</v>
      </c>
      <c r="AH33" s="185">
        <v>0</v>
      </c>
      <c r="AI33" s="185">
        <v>0</v>
      </c>
      <c r="AJ33" s="185">
        <v>0</v>
      </c>
      <c r="AK33" s="185">
        <v>0</v>
      </c>
      <c r="AL33" s="186">
        <v>0</v>
      </c>
      <c r="AM33" s="185">
        <v>0</v>
      </c>
      <c r="AN33" s="185">
        <v>0</v>
      </c>
      <c r="AO33" s="185">
        <v>0</v>
      </c>
      <c r="AP33" s="185">
        <v>0</v>
      </c>
      <c r="AQ33" s="185">
        <v>230</v>
      </c>
      <c r="AR33" s="185">
        <v>0</v>
      </c>
      <c r="AS33" s="185"/>
      <c r="AT33" s="185"/>
      <c r="AU33" s="185">
        <v>83</v>
      </c>
      <c r="AV33" s="403">
        <f t="shared" si="2"/>
        <v>28530</v>
      </c>
      <c r="AW33" s="3">
        <f>'t1'!AR33</f>
        <v>0</v>
      </c>
      <c r="CA33" s="887" t="s">
        <v>736</v>
      </c>
    </row>
    <row r="34" spans="1:79" ht="15" customHeight="1" thickTop="1" thickBot="1" x14ac:dyDescent="0.25">
      <c r="A34" s="137" t="s">
        <v>71</v>
      </c>
      <c r="B34" s="102"/>
      <c r="C34" s="402">
        <f t="shared" ref="C34:X34" si="46">SUM(C6:C33)</f>
        <v>0</v>
      </c>
      <c r="D34" s="402">
        <f t="shared" si="46"/>
        <v>0</v>
      </c>
      <c r="E34" s="402">
        <f t="shared" si="46"/>
        <v>0</v>
      </c>
      <c r="F34" s="402">
        <f t="shared" si="46"/>
        <v>3290984</v>
      </c>
      <c r="G34" s="402">
        <f t="shared" si="46"/>
        <v>831158</v>
      </c>
      <c r="H34" s="402">
        <f t="shared" si="46"/>
        <v>4877915</v>
      </c>
      <c r="I34" s="402">
        <f t="shared" si="46"/>
        <v>887400</v>
      </c>
      <c r="J34" s="402">
        <f>SUM(J6:J33)</f>
        <v>0</v>
      </c>
      <c r="K34" s="402">
        <f t="shared" si="46"/>
        <v>0</v>
      </c>
      <c r="L34" s="402">
        <f t="shared" si="46"/>
        <v>266270</v>
      </c>
      <c r="M34" s="402">
        <f t="shared" si="46"/>
        <v>0</v>
      </c>
      <c r="N34" s="402">
        <f t="shared" si="46"/>
        <v>2148544</v>
      </c>
      <c r="O34" s="402">
        <f t="shared" si="46"/>
        <v>0</v>
      </c>
      <c r="P34" s="402">
        <f t="shared" si="46"/>
        <v>0</v>
      </c>
      <c r="Q34" s="402">
        <f t="shared" si="46"/>
        <v>567246</v>
      </c>
      <c r="R34" s="402">
        <f t="shared" si="46"/>
        <v>0</v>
      </c>
      <c r="S34" s="402">
        <f t="shared" si="46"/>
        <v>2181592</v>
      </c>
      <c r="T34" s="402">
        <f t="shared" si="46"/>
        <v>0</v>
      </c>
      <c r="U34" s="402">
        <f t="shared" si="46"/>
        <v>530314</v>
      </c>
      <c r="V34" s="402">
        <f t="shared" si="46"/>
        <v>2371333</v>
      </c>
      <c r="W34" s="402">
        <f t="shared" si="46"/>
        <v>1142800</v>
      </c>
      <c r="X34" s="401">
        <f t="shared" si="46"/>
        <v>19095556</v>
      </c>
      <c r="AA34" s="402">
        <f t="shared" ref="AA34:AV34" si="47">SUM(AA6:AA33)</f>
        <v>0</v>
      </c>
      <c r="AB34" s="402">
        <f t="shared" si="47"/>
        <v>0</v>
      </c>
      <c r="AC34" s="402">
        <f t="shared" si="47"/>
        <v>0</v>
      </c>
      <c r="AD34" s="402">
        <f t="shared" si="47"/>
        <v>3290984</v>
      </c>
      <c r="AE34" s="402">
        <f t="shared" si="47"/>
        <v>831158</v>
      </c>
      <c r="AF34" s="402">
        <f t="shared" si="47"/>
        <v>4877915</v>
      </c>
      <c r="AG34" s="402">
        <f t="shared" si="47"/>
        <v>887400</v>
      </c>
      <c r="AH34" s="402">
        <f>SUM(AH6:AH33)</f>
        <v>0</v>
      </c>
      <c r="AI34" s="402">
        <f t="shared" si="47"/>
        <v>0</v>
      </c>
      <c r="AJ34" s="402">
        <f t="shared" si="47"/>
        <v>266270</v>
      </c>
      <c r="AK34" s="402">
        <f t="shared" si="47"/>
        <v>0</v>
      </c>
      <c r="AL34" s="402">
        <f t="shared" si="47"/>
        <v>2148544</v>
      </c>
      <c r="AM34" s="402">
        <f t="shared" si="47"/>
        <v>0</v>
      </c>
      <c r="AN34" s="402">
        <f t="shared" si="47"/>
        <v>0</v>
      </c>
      <c r="AO34" s="402">
        <f t="shared" si="47"/>
        <v>567246</v>
      </c>
      <c r="AP34" s="402">
        <f t="shared" si="47"/>
        <v>0</v>
      </c>
      <c r="AQ34" s="402">
        <f t="shared" si="47"/>
        <v>2181592</v>
      </c>
      <c r="AR34" s="402">
        <f t="shared" si="47"/>
        <v>0</v>
      </c>
      <c r="AS34" s="402">
        <f t="shared" si="47"/>
        <v>530314</v>
      </c>
      <c r="AT34" s="402">
        <f t="shared" si="47"/>
        <v>2371333</v>
      </c>
      <c r="AU34" s="402">
        <f t="shared" si="47"/>
        <v>1142800</v>
      </c>
      <c r="AV34" s="401">
        <f t="shared" si="47"/>
        <v>19095556</v>
      </c>
    </row>
    <row r="35" spans="1:79" x14ac:dyDescent="0.2">
      <c r="A35" s="17" t="str">
        <f>'t1'!$A$35</f>
        <v>(a) personale a tempo indeterminato al quale viene applicato un contratto di lavoro di tipo privatistico (es.:tipografico,chimico,edile,metalmeccanico,portierato, ecc.)</v>
      </c>
      <c r="X35" s="30"/>
      <c r="Z35" s="30"/>
      <c r="AV35" s="30"/>
      <c r="AX35" s="30"/>
      <c r="AY35" s="30"/>
    </row>
    <row r="36" spans="1:79" x14ac:dyDescent="0.2">
      <c r="A36" s="17" t="str">
        <f>'t1'!$A$36</f>
        <v>(b) cfr." istruzioni generali e specifiche di comparto" e "glossario"</v>
      </c>
    </row>
    <row r="37" spans="1:79" x14ac:dyDescent="0.2">
      <c r="A37" s="3" t="s">
        <v>179</v>
      </c>
      <c r="B37" s="47"/>
      <c r="C37" s="45"/>
      <c r="D37" s="45"/>
      <c r="E37" s="45"/>
      <c r="F37" s="45"/>
      <c r="G37" s="45"/>
      <c r="H37" s="45"/>
      <c r="I37" s="45"/>
      <c r="J37" s="45"/>
      <c r="K37" s="45"/>
      <c r="L37" s="45"/>
      <c r="M37" s="45"/>
      <c r="N37" s="45"/>
      <c r="O37" s="45"/>
      <c r="P37" s="45"/>
      <c r="Q37" s="45"/>
      <c r="R37" s="45"/>
      <c r="S37" s="45"/>
      <c r="T37" s="45"/>
      <c r="U37" s="45"/>
      <c r="V37" s="45"/>
      <c r="W37" s="45"/>
      <c r="X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X37" s="45"/>
      <c r="AY37" s="45"/>
    </row>
    <row r="38" spans="1:79" x14ac:dyDescent="0.2">
      <c r="A38" s="4"/>
    </row>
    <row r="39" spans="1:79" x14ac:dyDescent="0.2">
      <c r="A39" s="4"/>
    </row>
  </sheetData>
  <sheetProtection algorithmName="SHA-512" hashValue="+wsiOe1Gb6bpEtt3aEOrHHm49KD2O9Gjl8ZmwqLi+lHWTOzGMLYhzTjuMQhwD8I/Jiwzaok9fHtjqdpN71cJhA==" saltValue="nZzSrNMoldNK8RrDZzWwhA==" spinCount="100000" sheet="1" formatColumns="0" selectLockedCells="1"/>
  <phoneticPr fontId="30" type="noConversion"/>
  <conditionalFormatting sqref="A6:X33 AA6:AV33">
    <cfRule type="expression" dxfId="21" priority="3" stopIfTrue="1">
      <formula>$Y6&gt;0</formula>
    </cfRule>
  </conditionalFormatting>
  <dataValidations count="1">
    <dataValidation type="whole" allowBlank="1" showInputMessage="1" showErrorMessage="1" errorTitle="ERRORE NEL DATO IMMESSO" error="INSERIRE SOLO NUMERI INTERI" sqref="AA6:AE33 AF6:AU33">
      <formula1>1</formula1>
      <formula2>999999999999</formula2>
    </dataValidation>
  </dataValidations>
  <printOptions horizontalCentered="1" verticalCentered="1"/>
  <pageMargins left="0" right="0" top="0.15748031496062992" bottom="0.15748031496062992" header="0.19685039370078741" footer="0.19685039370078741"/>
  <pageSetup paperSize="9" scale="63" orientation="landscape" horizontalDpi="300" verticalDpi="4294967292"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R255"/>
  <sheetViews>
    <sheetView zoomScale="75" zoomScaleNormal="75" workbookViewId="0">
      <selection activeCell="F18" sqref="F18"/>
    </sheetView>
  </sheetViews>
  <sheetFormatPr defaultColWidth="12.6640625" defaultRowHeight="15" x14ac:dyDescent="0.15"/>
  <cols>
    <col min="1" max="1" width="6.6640625" style="511" customWidth="1"/>
    <col min="2" max="2" width="25.6640625" style="512" customWidth="1"/>
    <col min="3" max="3" width="5.5" style="512" customWidth="1"/>
    <col min="4" max="4" width="56.1640625" style="512" customWidth="1"/>
    <col min="5" max="5" width="22.5" style="512" customWidth="1"/>
    <col min="6" max="6" width="23.1640625" style="512" customWidth="1"/>
    <col min="7" max="7" width="21.6640625" style="512" customWidth="1"/>
    <col min="8" max="8" width="97.33203125" style="666" customWidth="1"/>
    <col min="9" max="9" width="6.5" style="481" hidden="1" customWidth="1"/>
    <col min="10" max="10" width="11.1640625" style="480" hidden="1" customWidth="1"/>
    <col min="11" max="14" width="12.6640625" style="480" hidden="1" customWidth="1"/>
    <col min="15" max="16384" width="12.6640625" style="480"/>
  </cols>
  <sheetData>
    <row r="1" spans="1:14" ht="62.25" customHeight="1" x14ac:dyDescent="0.15">
      <c r="H1" s="672" t="s">
        <v>332</v>
      </c>
      <c r="I1" s="454"/>
    </row>
    <row r="2" spans="1:14" ht="26.25" customHeight="1" thickBot="1" x14ac:dyDescent="0.2">
      <c r="A2" s="513"/>
      <c r="B2" s="514"/>
      <c r="C2" s="514"/>
      <c r="D2" s="452" t="str">
        <f>'t1'!A1</f>
        <v>REGIONE VALLE D'AOSTA - anno 2024</v>
      </c>
      <c r="E2" s="514"/>
      <c r="F2" s="514"/>
      <c r="G2" s="514"/>
      <c r="H2" s="673"/>
      <c r="I2" s="454"/>
    </row>
    <row r="3" spans="1:14" ht="18" customHeight="1" x14ac:dyDescent="0.15">
      <c r="B3" s="446"/>
      <c r="C3" s="446"/>
      <c r="D3" s="446"/>
      <c r="E3" s="446"/>
      <c r="F3" s="446"/>
      <c r="G3" s="446"/>
      <c r="H3" s="663"/>
      <c r="I3" s="454"/>
    </row>
    <row r="4" spans="1:14" hidden="1" x14ac:dyDescent="0.15">
      <c r="B4" s="448"/>
      <c r="C4" s="449"/>
      <c r="D4" s="448"/>
      <c r="E4" s="448"/>
      <c r="F4" s="455" t="s">
        <v>66</v>
      </c>
      <c r="G4" s="448"/>
      <c r="H4" s="663"/>
      <c r="I4" s="454"/>
    </row>
    <row r="5" spans="1:14" ht="15" hidden="1" customHeight="1" x14ac:dyDescent="0.15">
      <c r="B5" s="448"/>
      <c r="C5" s="449"/>
      <c r="D5" s="448"/>
      <c r="E5" s="448"/>
      <c r="F5" s="1268"/>
      <c r="G5" s="448"/>
      <c r="H5" s="663"/>
      <c r="I5" s="454"/>
    </row>
    <row r="6" spans="1:14" ht="15" hidden="1" customHeight="1" x14ac:dyDescent="0.15">
      <c r="A6" s="511" t="s">
        <v>294</v>
      </c>
      <c r="B6" s="450" t="s">
        <v>339</v>
      </c>
      <c r="C6" s="1269"/>
      <c r="F6" s="457"/>
      <c r="H6" s="663"/>
      <c r="I6" s="454"/>
    </row>
    <row r="7" spans="1:14" ht="15" hidden="1" customHeight="1" x14ac:dyDescent="0.15">
      <c r="B7" s="448"/>
      <c r="C7" s="449"/>
      <c r="D7" s="448"/>
      <c r="E7" s="448"/>
      <c r="F7" s="448"/>
      <c r="G7" s="448"/>
      <c r="H7" s="663"/>
      <c r="I7" s="454"/>
    </row>
    <row r="8" spans="1:14" ht="15" hidden="1" customHeight="1" x14ac:dyDescent="0.25">
      <c r="A8" s="511" t="s">
        <v>295</v>
      </c>
      <c r="B8" s="456" t="s">
        <v>340</v>
      </c>
      <c r="C8" s="449"/>
      <c r="D8" s="448"/>
      <c r="E8" s="448"/>
      <c r="F8" s="457"/>
      <c r="G8" s="448"/>
      <c r="H8" s="663"/>
      <c r="I8" s="454"/>
    </row>
    <row r="9" spans="1:14" ht="15" hidden="1" customHeight="1" x14ac:dyDescent="0.2">
      <c r="B9" s="1270"/>
      <c r="C9" s="449"/>
      <c r="D9" s="448"/>
      <c r="E9" s="448"/>
      <c r="F9" s="448"/>
      <c r="G9" s="448"/>
      <c r="H9" s="663"/>
      <c r="I9" s="454"/>
    </row>
    <row r="10" spans="1:14" ht="17.25" hidden="1" customHeight="1" x14ac:dyDescent="0.15">
      <c r="B10" s="448"/>
      <c r="C10" s="449"/>
      <c r="D10" s="448"/>
      <c r="E10" s="448"/>
      <c r="F10" s="455" t="s">
        <v>271</v>
      </c>
      <c r="G10" s="455" t="s">
        <v>272</v>
      </c>
      <c r="H10" s="663"/>
      <c r="I10" s="454"/>
    </row>
    <row r="11" spans="1:14" ht="20.25" hidden="1" customHeight="1" x14ac:dyDescent="0.15">
      <c r="A11" s="511" t="s">
        <v>301</v>
      </c>
      <c r="B11" s="451" t="s">
        <v>338</v>
      </c>
      <c r="C11" s="449"/>
      <c r="D11" s="448"/>
      <c r="E11" s="448"/>
      <c r="F11" s="431"/>
      <c r="G11" s="431"/>
      <c r="H11" s="568" t="str">
        <f>IF(I11=0,"RISPOSTA OBBLIGATORIA","")</f>
        <v>RISPOSTA OBBLIGATORIA</v>
      </c>
      <c r="I11" s="454">
        <v>0</v>
      </c>
      <c r="N11" s="1271"/>
    </row>
    <row r="12" spans="1:14" ht="15" hidden="1" customHeight="1" x14ac:dyDescent="0.15">
      <c r="A12" s="1272"/>
      <c r="B12" s="1272"/>
      <c r="C12" s="1272"/>
      <c r="D12" s="1272"/>
      <c r="E12" s="1272"/>
      <c r="F12" s="1272"/>
      <c r="G12" s="1272"/>
      <c r="H12" s="1273"/>
      <c r="I12" s="405"/>
    </row>
    <row r="13" spans="1:14" ht="15" customHeight="1" x14ac:dyDescent="0.15">
      <c r="F13" s="455" t="s">
        <v>271</v>
      </c>
      <c r="G13" s="455" t="s">
        <v>272</v>
      </c>
      <c r="H13" s="663"/>
      <c r="I13" s="454"/>
    </row>
    <row r="14" spans="1:14" ht="30.75" customHeight="1" x14ac:dyDescent="0.15">
      <c r="A14" s="511" t="s">
        <v>302</v>
      </c>
      <c r="B14" s="1390" t="s">
        <v>410</v>
      </c>
      <c r="C14" s="1390"/>
      <c r="D14" s="1390"/>
      <c r="E14" s="1391"/>
      <c r="F14" s="1274"/>
      <c r="G14" s="1274"/>
      <c r="H14" s="568" t="str">
        <f>IF(I14=0,"RISPOSTA OBBLIGATORIA","")</f>
        <v>RISPOSTA OBBLIGATORIA</v>
      </c>
      <c r="I14" s="454">
        <v>0</v>
      </c>
      <c r="J14" s="480" t="str">
        <f>IF(I14=1,"VERO",IF(I14=2,"FALSO",""))</f>
        <v/>
      </c>
    </row>
    <row r="15" spans="1:14" ht="15" customHeight="1" x14ac:dyDescent="0.15">
      <c r="F15" s="1275"/>
      <c r="G15" s="1275"/>
      <c r="H15" s="663"/>
      <c r="I15" s="454"/>
    </row>
    <row r="16" spans="1:14" ht="20.25" hidden="1" customHeight="1" x14ac:dyDescent="0.15">
      <c r="F16" s="1268"/>
      <c r="G16" s="1268"/>
      <c r="H16" s="663"/>
      <c r="I16" s="454"/>
      <c r="N16" s="1271"/>
    </row>
    <row r="17" spans="1:14" ht="15" hidden="1" customHeight="1" x14ac:dyDescent="0.15">
      <c r="H17" s="663"/>
      <c r="I17" s="454"/>
    </row>
    <row r="18" spans="1:14" ht="43.5" customHeight="1" x14ac:dyDescent="0.85">
      <c r="A18" s="511" t="s">
        <v>296</v>
      </c>
      <c r="B18" s="1401" t="s">
        <v>747</v>
      </c>
      <c r="C18" s="1402"/>
      <c r="D18" s="1402"/>
      <c r="E18" s="1402"/>
      <c r="F18" s="839" t="s">
        <v>675</v>
      </c>
      <c r="G18" s="840" t="str">
        <f>IF(I18=0,"←","")</f>
        <v>←</v>
      </c>
      <c r="H18" s="568" t="str">
        <f>IF(I18=0,"RISPOSTA OBBLIGATORIA - Cliccare sulla cella per selezionare la risposta","")</f>
        <v>RISPOSTA OBBLIGATORIA - Cliccare sulla cella per selezionare la risposta</v>
      </c>
      <c r="I18" s="793">
        <f>IF(F18="Sì",1,IF(F18="No",2,IF(F18="Non sono stati esternalizzati servizi ","X",0)))</f>
        <v>0</v>
      </c>
    </row>
    <row r="19" spans="1:14" ht="15" customHeight="1" x14ac:dyDescent="0.15">
      <c r="B19" s="843"/>
      <c r="C19" s="843"/>
      <c r="D19" s="843"/>
      <c r="E19" s="843"/>
      <c r="H19" s="663"/>
      <c r="I19" s="454"/>
    </row>
    <row r="20" spans="1:14" ht="43.5" customHeight="1" x14ac:dyDescent="0.15">
      <c r="A20" s="511" t="s">
        <v>297</v>
      </c>
      <c r="B20" s="1403" t="s">
        <v>994</v>
      </c>
      <c r="C20" s="1402"/>
      <c r="D20" s="1402"/>
      <c r="E20" s="1402"/>
      <c r="F20" s="431"/>
      <c r="G20" s="431"/>
      <c r="H20" s="568" t="str">
        <f>IF(I20=0,"RISPOSTA OBBLIGATORIA","")</f>
        <v>RISPOSTA OBBLIGATORIA</v>
      </c>
      <c r="I20" s="454">
        <v>0</v>
      </c>
      <c r="J20" s="480" t="str">
        <f>IF(I20=1,"VERO",IF(I20=2,"FALSO",""))</f>
        <v/>
      </c>
      <c r="N20" s="1271"/>
    </row>
    <row r="21" spans="1:14" ht="15" customHeight="1" x14ac:dyDescent="0.15">
      <c r="B21" s="448"/>
      <c r="H21" s="663"/>
      <c r="I21" s="454"/>
    </row>
    <row r="22" spans="1:14" ht="31.5" customHeight="1" x14ac:dyDescent="0.25">
      <c r="A22" s="511" t="s">
        <v>300</v>
      </c>
      <c r="B22" s="1404" t="s">
        <v>995</v>
      </c>
      <c r="C22" s="1405"/>
      <c r="D22" s="1405"/>
      <c r="E22" s="1405"/>
      <c r="F22" s="431"/>
      <c r="G22" s="431"/>
      <c r="H22" s="568" t="str">
        <f>IF(I22=0,"RISPOSTA OBBLIGATORIA","")</f>
        <v>RISPOSTA OBBLIGATORIA</v>
      </c>
      <c r="I22" s="454">
        <v>0</v>
      </c>
      <c r="J22" s="480" t="str">
        <f>IF(I22=1,"VERO",IF(I22=2,"FALSO",""))</f>
        <v/>
      </c>
      <c r="N22" s="1271"/>
    </row>
    <row r="23" spans="1:14" ht="15" customHeight="1" x14ac:dyDescent="0.15">
      <c r="B23" s="448"/>
      <c r="H23" s="663"/>
      <c r="I23" s="454"/>
    </row>
    <row r="24" spans="1:14" ht="20.25" customHeight="1" x14ac:dyDescent="0.25">
      <c r="A24" s="511" t="s">
        <v>996</v>
      </c>
      <c r="B24" s="168" t="s">
        <v>748</v>
      </c>
      <c r="C24" s="168"/>
      <c r="D24" s="168"/>
      <c r="H24" s="663"/>
      <c r="N24" s="1271"/>
    </row>
    <row r="25" spans="1:14" ht="28.35" customHeight="1" x14ac:dyDescent="0.15">
      <c r="B25" s="1276" t="s">
        <v>749</v>
      </c>
      <c r="C25" s="1390" t="s">
        <v>750</v>
      </c>
      <c r="D25" s="1390"/>
      <c r="E25" s="1391"/>
      <c r="F25" s="431"/>
      <c r="G25" s="431"/>
      <c r="H25" s="1277" t="str">
        <f>IF($I$25=1,IF(($I$26)=1,"non à possibile rispondere si ad entrambe le domande"," "),IF(AND($I$25=2,I26&gt;0)," ",IF($I$25=0,"RISPOSTA OBBLIGATORIA PER COMUNI CON POP. SUP. 100.000 AB. E CITTA' METROPOLITANE E PROVINCE"," ")))</f>
        <v>RISPOSTA OBBLIGATORIA PER COMUNI CON POP. SUP. 100.000 AB. E CITTA' METROPOLITANE E PROVINCE</v>
      </c>
      <c r="I25" s="454">
        <v>0</v>
      </c>
      <c r="J25" s="480" t="str">
        <f>IF(I25=1,"VERO",IF(I25=2,"FALSO",""))</f>
        <v/>
      </c>
    </row>
    <row r="26" spans="1:14" ht="28.35" customHeight="1" x14ac:dyDescent="0.15">
      <c r="B26" s="1276" t="s">
        <v>751</v>
      </c>
      <c r="C26" s="1390" t="s">
        <v>752</v>
      </c>
      <c r="D26" s="1390"/>
      <c r="E26" s="1391"/>
      <c r="F26" s="431"/>
      <c r="G26" s="431"/>
      <c r="H26" s="1278" t="str">
        <f>IF($I$26=1,IF(($I$25)=1,"non à possibile rispondere si ad entrambe le domande"," "),IF(AND($I$26=2,I25&gt;0)," ",IF($I$26=0,"RISPOSTA OBBLIGATORIA PER COMUNI CON POP. SUP. 100.000 AB. E CITTA' METROPOLITANE E PROVINCE"," ")))</f>
        <v>RISPOSTA OBBLIGATORIA PER COMUNI CON POP. SUP. 100.000 AB. E CITTA' METROPOLITANE E PROVINCE</v>
      </c>
      <c r="I26" s="454">
        <v>0</v>
      </c>
      <c r="J26" s="480" t="str">
        <f>IF(I26=1,"VERO",IF(I26=2,"FALSO",""))</f>
        <v/>
      </c>
    </row>
    <row r="27" spans="1:14" ht="15" customHeight="1" x14ac:dyDescent="0.15">
      <c r="C27" s="882"/>
      <c r="D27" s="1392"/>
      <c r="E27" s="1393"/>
      <c r="G27"/>
      <c r="H27" s="1279"/>
      <c r="I27" s="454"/>
    </row>
    <row r="28" spans="1:14" ht="15" hidden="1" customHeight="1" x14ac:dyDescent="0.15">
      <c r="C28" s="882"/>
      <c r="D28" s="882"/>
      <c r="E28" s="874"/>
      <c r="G28"/>
      <c r="H28" s="1279"/>
      <c r="I28" s="454"/>
    </row>
    <row r="29" spans="1:14" ht="15" hidden="1" customHeight="1" x14ac:dyDescent="0.15">
      <c r="C29" s="882"/>
      <c r="D29" s="882"/>
      <c r="E29" s="874"/>
      <c r="G29"/>
      <c r="H29" s="1279"/>
      <c r="I29" s="454"/>
    </row>
    <row r="30" spans="1:14" ht="15" hidden="1" customHeight="1" x14ac:dyDescent="0.15">
      <c r="C30" s="882"/>
      <c r="D30" s="882"/>
      <c r="E30" s="874"/>
      <c r="G30"/>
      <c r="H30" s="1279"/>
      <c r="I30" s="454"/>
    </row>
    <row r="31" spans="1:14" ht="15" customHeight="1" x14ac:dyDescent="0.15">
      <c r="F31" s="455" t="s">
        <v>271</v>
      </c>
      <c r="G31" s="455" t="s">
        <v>272</v>
      </c>
      <c r="H31" s="663"/>
      <c r="I31" s="454"/>
    </row>
    <row r="32" spans="1:14" ht="32.25" customHeight="1" x14ac:dyDescent="0.15">
      <c r="A32" s="1280" t="s">
        <v>303</v>
      </c>
      <c r="B32" s="1394" t="s">
        <v>2</v>
      </c>
      <c r="C32" s="1394"/>
      <c r="D32" s="1394"/>
      <c r="E32" s="1395"/>
      <c r="F32" s="431"/>
      <c r="G32" s="431"/>
      <c r="H32" s="568" t="str">
        <f>IF(I32=0,"RISPOSTA OBBLIGATORIA","")</f>
        <v>RISPOSTA OBBLIGATORIA</v>
      </c>
      <c r="I32" s="454"/>
      <c r="J32" s="480" t="str">
        <f>IF(I32=1,"VERO",IF(I32=2,"FALSO",""))</f>
        <v/>
      </c>
      <c r="N32" s="1271"/>
    </row>
    <row r="33" spans="1:14" ht="15" customHeight="1" x14ac:dyDescent="0.15">
      <c r="H33" s="663"/>
      <c r="I33" s="454"/>
    </row>
    <row r="34" spans="1:14" ht="31.35" customHeight="1" x14ac:dyDescent="0.15">
      <c r="A34" s="1280" t="s">
        <v>333</v>
      </c>
      <c r="B34" s="1396" t="s">
        <v>361</v>
      </c>
      <c r="C34" s="1396"/>
      <c r="D34" s="1396"/>
      <c r="E34" s="1397"/>
      <c r="F34" s="431"/>
      <c r="G34" s="431"/>
      <c r="H34" s="568" t="str">
        <f>IF(I34=0,"RISPOSTA OBBLIGATORIA","")</f>
        <v>RISPOSTA OBBLIGATORIA</v>
      </c>
      <c r="I34" s="454"/>
      <c r="J34" s="480" t="str">
        <f>IF(I34=1,"VERO",IF(I34=2,"FALSO",""))</f>
        <v/>
      </c>
      <c r="N34" s="1271"/>
    </row>
    <row r="35" spans="1:14" ht="15" customHeight="1" x14ac:dyDescent="0.15">
      <c r="H35" s="663"/>
      <c r="I35" s="454"/>
    </row>
    <row r="36" spans="1:14" ht="15" hidden="1" customHeight="1" x14ac:dyDescent="0.15">
      <c r="F36" s="1281"/>
      <c r="H36" s="663"/>
      <c r="I36" s="454"/>
    </row>
    <row r="37" spans="1:14" ht="33" hidden="1" customHeight="1" x14ac:dyDescent="0.15">
      <c r="A37" s="1280"/>
      <c r="B37" s="1398"/>
      <c r="C37" s="1399"/>
      <c r="D37" s="1399"/>
      <c r="E37" s="1400"/>
      <c r="F37" s="1282"/>
      <c r="G37" s="1406"/>
      <c r="H37" s="1407"/>
      <c r="I37" s="454"/>
    </row>
    <row r="38" spans="1:14" ht="15" hidden="1" customHeight="1" x14ac:dyDescent="0.15">
      <c r="H38" s="663"/>
      <c r="I38" s="454"/>
    </row>
    <row r="39" spans="1:14" ht="15" hidden="1" customHeight="1" x14ac:dyDescent="0.15">
      <c r="F39" s="455"/>
      <c r="G39" s="455"/>
      <c r="H39" s="663"/>
      <c r="I39" s="482"/>
    </row>
    <row r="40" spans="1:14" ht="42.6" hidden="1" customHeight="1" x14ac:dyDescent="0.15">
      <c r="B40" s="1390"/>
      <c r="C40" s="1390"/>
      <c r="D40" s="1390"/>
      <c r="E40" s="1391"/>
      <c r="F40" s="875"/>
      <c r="G40" s="876"/>
      <c r="H40" s="1277"/>
      <c r="I40" s="454"/>
    </row>
    <row r="41" spans="1:14" ht="15" hidden="1" customHeight="1" x14ac:dyDescent="0.15">
      <c r="H41" s="663"/>
      <c r="I41" s="454"/>
    </row>
    <row r="42" spans="1:14" ht="30" customHeight="1" x14ac:dyDescent="0.15">
      <c r="A42" s="1280" t="s">
        <v>352</v>
      </c>
      <c r="B42" s="1390" t="s">
        <v>997</v>
      </c>
      <c r="C42" s="1390"/>
      <c r="D42" s="1390"/>
      <c r="E42" s="1391"/>
      <c r="F42" s="457">
        <v>0</v>
      </c>
      <c r="G42" s="1406" t="str">
        <f>IF(F42="","RISPOSTA OBBLIGATORIA","")</f>
        <v/>
      </c>
      <c r="H42" s="1407"/>
      <c r="I42" s="301">
        <f>F42</f>
        <v>0</v>
      </c>
    </row>
    <row r="43" spans="1:14" ht="15" customHeight="1" x14ac:dyDescent="0.15">
      <c r="H43" s="663"/>
      <c r="I43" s="454"/>
    </row>
    <row r="44" spans="1:14" ht="28.5" customHeight="1" x14ac:dyDescent="0.15">
      <c r="A44" s="1280" t="s">
        <v>353</v>
      </c>
      <c r="B44" s="1401" t="s">
        <v>412</v>
      </c>
      <c r="C44" s="1393"/>
      <c r="D44" s="1393"/>
      <c r="E44" s="1411"/>
      <c r="F44" s="457">
        <v>0</v>
      </c>
      <c r="G44" s="1406" t="str">
        <f>IF(F44="","RISPOSTA OBBLIGATORIA","")</f>
        <v/>
      </c>
      <c r="H44" s="1407"/>
      <c r="I44" s="301">
        <f>F44</f>
        <v>0</v>
      </c>
    </row>
    <row r="45" spans="1:14" ht="15" customHeight="1" x14ac:dyDescent="0.15">
      <c r="F45" s="453"/>
      <c r="H45" s="663"/>
      <c r="I45" s="454"/>
    </row>
    <row r="46" spans="1:14" ht="15" customHeight="1" x14ac:dyDescent="0.15">
      <c r="F46" s="455" t="s">
        <v>271</v>
      </c>
      <c r="G46" s="455" t="s">
        <v>272</v>
      </c>
      <c r="H46" s="663"/>
      <c r="I46" s="482"/>
    </row>
    <row r="47" spans="1:14" ht="31.35" customHeight="1" x14ac:dyDescent="0.15">
      <c r="A47" s="511" t="s">
        <v>362</v>
      </c>
      <c r="B47" s="1390" t="s">
        <v>998</v>
      </c>
      <c r="C47" s="1390"/>
      <c r="D47" s="1390"/>
      <c r="E47" s="1391"/>
      <c r="F47" s="875"/>
      <c r="G47" s="876"/>
      <c r="H47" s="568" t="str">
        <f>IF(I47=0,"RISPOSTA OBBLIGATORIA","")</f>
        <v>RISPOSTA OBBLIGATORIA</v>
      </c>
      <c r="I47" s="454">
        <v>0</v>
      </c>
      <c r="J47" s="480" t="str">
        <f>IF(I47=1,"VERO",IF(I47=2,"FALSO",""))</f>
        <v/>
      </c>
    </row>
    <row r="48" spans="1:14" ht="23.1" customHeight="1" x14ac:dyDescent="0.15">
      <c r="B48" s="671"/>
      <c r="C48" s="877" t="s">
        <v>754</v>
      </c>
      <c r="D48" s="671"/>
      <c r="E48" s="671"/>
      <c r="F48" s="558"/>
      <c r="G48" s="557"/>
      <c r="H48" s="878"/>
      <c r="I48" s="454"/>
    </row>
    <row r="49" spans="1:10" ht="40.35" customHeight="1" x14ac:dyDescent="0.15">
      <c r="B49" s="838">
        <v>23</v>
      </c>
      <c r="C49" s="1390" t="s">
        <v>999</v>
      </c>
      <c r="D49" s="1390"/>
      <c r="E49" s="1391"/>
      <c r="F49" s="875"/>
      <c r="G49" s="876"/>
      <c r="H49" s="568" t="str">
        <f>IF($I$47=1,IF(($I$49)=0,"RISPONDERE OBBLIGATORIAMENTE ALLA DOMANDA"," "),IF(AND($I$47&gt;0,$I$49&gt;0),"LA RISPOSTA DATA IN QUESTA SEZIONE NON VERRA' CONSIDERATA",IF(I49&gt;0,"RISPONDERE ALLA DOMANDA 21","  ")))</f>
        <v xml:space="preserve">  </v>
      </c>
      <c r="I49" s="454">
        <v>0</v>
      </c>
      <c r="J49" s="480" t="str">
        <f>IF(I49=1,"VERO",IF(I49=2,"FALSO",""))</f>
        <v/>
      </c>
    </row>
    <row r="50" spans="1:10" ht="15" customHeight="1" x14ac:dyDescent="0.15">
      <c r="B50" s="451"/>
      <c r="C50" s="877"/>
      <c r="D50" s="877"/>
      <c r="E50" s="671"/>
      <c r="F50" s="558"/>
      <c r="G50" s="557"/>
      <c r="H50" s="878"/>
      <c r="I50" s="454"/>
    </row>
    <row r="51" spans="1:10" ht="20.100000000000001" customHeight="1" x14ac:dyDescent="0.15">
      <c r="F51" s="455" t="s">
        <v>271</v>
      </c>
      <c r="G51" s="455" t="s">
        <v>272</v>
      </c>
      <c r="H51" s="663"/>
      <c r="I51" s="482"/>
    </row>
    <row r="52" spans="1:10" ht="29.85" customHeight="1" x14ac:dyDescent="0.15">
      <c r="A52" s="1283" t="s">
        <v>386</v>
      </c>
      <c r="B52" s="1390" t="s">
        <v>1000</v>
      </c>
      <c r="C52" s="1390"/>
      <c r="D52" s="1390"/>
      <c r="E52" s="1391"/>
      <c r="F52" s="875"/>
      <c r="G52" s="876"/>
      <c r="H52" s="568" t="str">
        <f>IF(I52=0,"RISPOSTA OBBLIGATORIA","")</f>
        <v>RISPOSTA OBBLIGATORIA</v>
      </c>
      <c r="I52" s="454">
        <v>0</v>
      </c>
      <c r="J52" s="480" t="str">
        <f>IF(I52=1,"VERO",IF(I52=2,"FALSO",""))</f>
        <v/>
      </c>
    </row>
    <row r="53" spans="1:10" ht="15" hidden="1" customHeight="1" x14ac:dyDescent="0.15">
      <c r="B53" s="451"/>
      <c r="C53" s="877"/>
      <c r="D53" s="877"/>
      <c r="E53" s="671"/>
      <c r="F53" s="558"/>
      <c r="G53" s="557"/>
      <c r="H53" s="878"/>
      <c r="I53" s="454"/>
    </row>
    <row r="54" spans="1:10" s="1286" customFormat="1" ht="15" hidden="1" customHeight="1" x14ac:dyDescent="0.15">
      <c r="A54" s="556"/>
      <c r="B54" s="843"/>
      <c r="C54" s="843"/>
      <c r="D54" s="843"/>
      <c r="E54" s="843"/>
      <c r="F54" s="1284" t="s">
        <v>411</v>
      </c>
      <c r="G54" s="843"/>
      <c r="H54" s="1285"/>
      <c r="I54" s="855"/>
    </row>
    <row r="55" spans="1:10" s="1286" customFormat="1" ht="30" hidden="1" customHeight="1" x14ac:dyDescent="0.15">
      <c r="A55" s="556" t="s">
        <v>15</v>
      </c>
      <c r="B55" s="1408" t="s">
        <v>16</v>
      </c>
      <c r="C55" s="1408"/>
      <c r="D55" s="1408"/>
      <c r="E55" s="1409"/>
      <c r="F55" s="1287">
        <v>0</v>
      </c>
      <c r="G55" s="1406" t="str">
        <f>IF(F55="","RISPOSTA OBBLIGATORIA","")</f>
        <v/>
      </c>
      <c r="H55" s="1410"/>
      <c r="I55" s="855"/>
    </row>
    <row r="56" spans="1:10" s="1286" customFormat="1" ht="15" hidden="1" customHeight="1" x14ac:dyDescent="0.15">
      <c r="A56" s="556"/>
      <c r="B56" s="1288"/>
      <c r="C56" s="1288"/>
      <c r="D56" s="1288"/>
      <c r="E56" s="1288"/>
      <c r="F56" s="843"/>
      <c r="G56" s="843"/>
      <c r="H56" s="1285"/>
      <c r="I56" s="855"/>
    </row>
    <row r="57" spans="1:10" s="1286" customFormat="1" ht="15" hidden="1" customHeight="1" x14ac:dyDescent="0.15">
      <c r="A57" s="556"/>
      <c r="B57" s="1288"/>
      <c r="C57" s="1288"/>
      <c r="D57" s="1288"/>
      <c r="E57" s="1288"/>
      <c r="F57" s="1284" t="s">
        <v>411</v>
      </c>
      <c r="G57" s="843"/>
      <c r="H57" s="1285"/>
      <c r="I57" s="855"/>
    </row>
    <row r="58" spans="1:10" s="1286" customFormat="1" ht="30" hidden="1" customHeight="1" x14ac:dyDescent="0.15">
      <c r="A58" s="556" t="s">
        <v>17</v>
      </c>
      <c r="B58" s="1408" t="s">
        <v>20</v>
      </c>
      <c r="C58" s="1408"/>
      <c r="D58" s="1408"/>
      <c r="E58" s="1409"/>
      <c r="F58" s="1287">
        <v>0</v>
      </c>
      <c r="G58" s="1406" t="str">
        <f>IF(F58="","RISPOSTA OBBLIGATORIA","")</f>
        <v/>
      </c>
      <c r="H58" s="1410"/>
      <c r="I58" s="855"/>
    </row>
    <row r="59" spans="1:10" s="1286" customFormat="1" ht="15" hidden="1" customHeight="1" x14ac:dyDescent="0.15">
      <c r="A59" s="556"/>
      <c r="B59" s="1288"/>
      <c r="C59" s="1288"/>
      <c r="D59" s="1288"/>
      <c r="E59" s="1288"/>
      <c r="F59" s="843"/>
      <c r="G59" s="843"/>
      <c r="H59" s="1285"/>
      <c r="I59" s="855"/>
    </row>
    <row r="60" spans="1:10" s="1286" customFormat="1" ht="15" hidden="1" customHeight="1" x14ac:dyDescent="0.15">
      <c r="A60" s="556"/>
      <c r="B60" s="1288"/>
      <c r="C60" s="1288"/>
      <c r="D60" s="1288"/>
      <c r="E60" s="1288"/>
      <c r="F60" s="1284" t="s">
        <v>411</v>
      </c>
      <c r="G60" s="843"/>
      <c r="H60" s="1285"/>
      <c r="I60" s="855"/>
    </row>
    <row r="61" spans="1:10" s="1286" customFormat="1" ht="30" hidden="1" customHeight="1" x14ac:dyDescent="0.15">
      <c r="A61" s="556" t="s">
        <v>19</v>
      </c>
      <c r="B61" s="1408" t="s">
        <v>18</v>
      </c>
      <c r="C61" s="1408"/>
      <c r="D61" s="1408"/>
      <c r="E61" s="1409"/>
      <c r="F61" s="1287">
        <v>0</v>
      </c>
      <c r="G61" s="1406" t="str">
        <f>IF(F61="","RISPOSTA OBBLIGATORIA","")</f>
        <v/>
      </c>
      <c r="H61" s="1410"/>
      <c r="I61" s="855"/>
    </row>
    <row r="62" spans="1:10" s="1286" customFormat="1" ht="15" customHeight="1" x14ac:dyDescent="0.15">
      <c r="A62" s="556"/>
      <c r="B62" s="671"/>
      <c r="C62" s="671"/>
      <c r="D62" s="671"/>
      <c r="E62" s="671"/>
      <c r="F62" s="1289"/>
      <c r="G62" s="557"/>
      <c r="H62" s="878"/>
      <c r="I62" s="855"/>
    </row>
    <row r="63" spans="1:10" ht="15" customHeight="1" x14ac:dyDescent="0.15">
      <c r="F63" s="455" t="s">
        <v>271</v>
      </c>
      <c r="G63" s="455" t="s">
        <v>272</v>
      </c>
      <c r="H63" s="663"/>
      <c r="I63" s="482"/>
    </row>
    <row r="64" spans="1:10" ht="30" customHeight="1" x14ac:dyDescent="0.15">
      <c r="A64" s="1283" t="s">
        <v>479</v>
      </c>
      <c r="B64" s="1390" t="s">
        <v>1001</v>
      </c>
      <c r="C64" s="1390"/>
      <c r="D64" s="1390"/>
      <c r="E64" s="1391"/>
      <c r="F64" s="875"/>
      <c r="G64" s="876"/>
      <c r="H64" s="568" t="str">
        <f>IF(I64=0,"RISPOSTA OBBLIGATORIA","")</f>
        <v>RISPOSTA OBBLIGATORIA</v>
      </c>
      <c r="I64" s="454">
        <v>0</v>
      </c>
      <c r="J64" s="480" t="str">
        <f>IF(I64=1,"VERO",IF(I64=2,"FALSO",""))</f>
        <v/>
      </c>
    </row>
    <row r="65" spans="1:44" ht="20.25" customHeight="1" x14ac:dyDescent="0.15">
      <c r="A65" s="556"/>
      <c r="B65" s="671"/>
      <c r="C65" s="877" t="s">
        <v>481</v>
      </c>
      <c r="D65" s="671"/>
      <c r="E65" s="671"/>
      <c r="F65" s="558"/>
      <c r="G65" s="557"/>
      <c r="H65" s="878"/>
      <c r="I65" s="454"/>
    </row>
    <row r="66" spans="1:44" ht="15" customHeight="1" x14ac:dyDescent="0.15">
      <c r="F66" s="455" t="s">
        <v>480</v>
      </c>
      <c r="H66" s="663"/>
      <c r="I66" s="454"/>
    </row>
    <row r="67" spans="1:44" ht="30" customHeight="1" x14ac:dyDescent="0.15">
      <c r="A67" s="556"/>
      <c r="B67" s="512">
        <v>29</v>
      </c>
      <c r="C67" s="1390" t="s">
        <v>490</v>
      </c>
      <c r="D67" s="1390"/>
      <c r="E67" s="1391"/>
      <c r="F67" s="457">
        <v>0</v>
      </c>
      <c r="G67" s="1412" t="str">
        <f>IF($I$64=1,IF(($F$67+$F$70)=0,"RISPONDERE OBBLIGATORIAMENTE ALLA DOMANDA 29 E/O 30"," "),IF(AND($I$64=2,F67&gt;0),"LA RISPOSTA DATA IN QUESTA SEZIONE NON VERRA' CONSIDERATA",IF(F67&gt;0,"RISPONDERE ALLA DOMANDA 28"," ")))</f>
        <v xml:space="preserve"> </v>
      </c>
      <c r="H67" s="1413"/>
      <c r="I67" s="301">
        <f>F67</f>
        <v>0</v>
      </c>
    </row>
    <row r="68" spans="1:44" ht="15" customHeight="1" x14ac:dyDescent="0.15">
      <c r="A68" s="556"/>
      <c r="B68" s="671"/>
      <c r="C68" s="671"/>
      <c r="D68" s="671"/>
      <c r="E68" s="671"/>
      <c r="F68" s="558"/>
      <c r="G68" s="557"/>
      <c r="H68" s="878"/>
      <c r="I68" s="454"/>
    </row>
    <row r="69" spans="1:44" ht="15" customHeight="1" x14ac:dyDescent="0.15">
      <c r="F69" s="455" t="s">
        <v>480</v>
      </c>
      <c r="H69" s="663"/>
      <c r="I69" s="454"/>
    </row>
    <row r="70" spans="1:44" ht="30" customHeight="1" x14ac:dyDescent="0.15">
      <c r="A70" s="556"/>
      <c r="B70" s="512">
        <v>30</v>
      </c>
      <c r="C70" s="1390" t="s">
        <v>491</v>
      </c>
      <c r="D70" s="1390"/>
      <c r="E70" s="1391"/>
      <c r="F70" s="457">
        <v>0</v>
      </c>
      <c r="G70" s="1412" t="str">
        <f>IF($I$64=1,IF(($F$67+$F$70)=0,"RISPONDERE OBBLIGATORIAMENTE ALLA DOMANDA 29 E/O 30"," "),IF(AND($I$64=2,F70&gt;0),"LA RISPOSTA DATA IN QUESTA SEZIONE NON VERRA' CONSIDERATA",IF(F70&gt;0,"RISPONDERE ALLA DOMANDA 28"," ")))</f>
        <v xml:space="preserve"> </v>
      </c>
      <c r="H70" s="1413"/>
      <c r="I70" s="301">
        <f>F70</f>
        <v>0</v>
      </c>
      <c r="L70" s="1286"/>
      <c r="M70" s="1286"/>
      <c r="N70" s="1286"/>
      <c r="O70" s="1286"/>
      <c r="P70" s="1286"/>
      <c r="Q70" s="1286"/>
      <c r="R70" s="1286"/>
      <c r="S70" s="1286"/>
      <c r="T70" s="1286"/>
      <c r="U70" s="1286"/>
      <c r="V70" s="1286"/>
      <c r="W70" s="1286"/>
      <c r="X70" s="1286"/>
      <c r="Y70" s="1286"/>
      <c r="Z70" s="1286"/>
      <c r="AA70" s="1286"/>
      <c r="AB70" s="1286"/>
      <c r="AC70" s="1286"/>
      <c r="AD70" s="1286"/>
      <c r="AE70" s="1286"/>
      <c r="AF70" s="1286"/>
      <c r="AG70" s="1286"/>
      <c r="AH70" s="1286"/>
      <c r="AI70" s="1286"/>
      <c r="AJ70" s="1286"/>
      <c r="AK70" s="1286"/>
      <c r="AL70" s="1286"/>
      <c r="AM70" s="1286"/>
      <c r="AN70" s="1286"/>
      <c r="AO70" s="1286"/>
      <c r="AP70" s="1286"/>
      <c r="AQ70" s="1286"/>
      <c r="AR70" s="1286"/>
    </row>
    <row r="71" spans="1:44" x14ac:dyDescent="0.15">
      <c r="H71" s="663"/>
      <c r="L71" s="1286"/>
      <c r="M71" s="1286"/>
      <c r="N71" s="1286"/>
      <c r="O71" s="1286"/>
      <c r="P71" s="1286"/>
      <c r="Q71" s="1286"/>
      <c r="R71" s="1286"/>
      <c r="S71" s="1286"/>
      <c r="T71" s="1286"/>
      <c r="U71" s="1286"/>
      <c r="V71" s="1286"/>
      <c r="W71" s="1286"/>
      <c r="X71" s="1286"/>
      <c r="Y71" s="1286"/>
      <c r="Z71" s="1286"/>
      <c r="AA71" s="1286"/>
      <c r="AB71" s="1286"/>
      <c r="AC71" s="1286"/>
      <c r="AD71" s="1286"/>
      <c r="AE71" s="1286"/>
      <c r="AF71" s="1286"/>
      <c r="AG71" s="1286"/>
      <c r="AH71" s="1286"/>
      <c r="AI71" s="1286"/>
      <c r="AJ71" s="1286"/>
      <c r="AK71" s="1286"/>
      <c r="AL71" s="1286"/>
      <c r="AM71" s="1286"/>
      <c r="AN71" s="1286"/>
      <c r="AO71" s="1286"/>
      <c r="AP71" s="1286"/>
      <c r="AQ71" s="1286"/>
      <c r="AR71" s="1286"/>
    </row>
    <row r="72" spans="1:44" ht="15" customHeight="1" x14ac:dyDescent="0.15">
      <c r="F72" s="455" t="s">
        <v>271</v>
      </c>
      <c r="G72" s="455" t="s">
        <v>272</v>
      </c>
      <c r="H72" s="663"/>
      <c r="I72" s="482"/>
    </row>
    <row r="73" spans="1:44" ht="31.35" customHeight="1" x14ac:dyDescent="0.15">
      <c r="A73" s="511" t="s">
        <v>594</v>
      </c>
      <c r="B73" s="1390" t="s">
        <v>924</v>
      </c>
      <c r="C73" s="1390"/>
      <c r="D73" s="1390"/>
      <c r="E73" s="1391"/>
      <c r="F73" s="875"/>
      <c r="G73" s="876"/>
      <c r="H73" s="568" t="str">
        <f>IF(I73=0,"RISPOSTA OBBLIGATORIA","")</f>
        <v>RISPOSTA OBBLIGATORIA</v>
      </c>
      <c r="I73" s="454">
        <v>0</v>
      </c>
      <c r="J73" s="480" t="str">
        <f>IF(I73=1,"VERO",IF(I73=2,"FALSO",""))</f>
        <v/>
      </c>
    </row>
    <row r="74" spans="1:44" ht="15" customHeight="1" x14ac:dyDescent="0.15">
      <c r="B74" s="671"/>
      <c r="C74" s="877"/>
      <c r="D74" s="877"/>
      <c r="E74" s="671"/>
      <c r="F74" s="558"/>
      <c r="G74" s="557"/>
      <c r="H74" s="878"/>
      <c r="I74" s="454"/>
    </row>
    <row r="75" spans="1:44" ht="15" customHeight="1" x14ac:dyDescent="0.15">
      <c r="B75" s="671"/>
      <c r="C75" s="877"/>
      <c r="D75" s="877"/>
      <c r="E75" s="671"/>
      <c r="F75" s="455" t="s">
        <v>66</v>
      </c>
      <c r="G75" s="557"/>
      <c r="H75" s="878"/>
      <c r="I75" s="454"/>
    </row>
    <row r="76" spans="1:44" ht="25.35" customHeight="1" x14ac:dyDescent="0.15">
      <c r="B76" s="512">
        <v>32</v>
      </c>
      <c r="C76" s="1390" t="s">
        <v>925</v>
      </c>
      <c r="D76" s="1390"/>
      <c r="E76" s="1391"/>
      <c r="F76" s="879"/>
      <c r="G76" s="557"/>
      <c r="H76" s="880" t="str">
        <f>IF(I73=2,"LA RISPOSTA DATA IN QUESTA SEZIONE NON VERRA' CONSIDERATA PERCHE' E' STATO RISPOSTO NO ALLA DOMANDA 31",IF($I$73=1,IF(($F$76)=0,"RISPONDERE OBBLIGATORIAMENTE ALLA DOMANDA"," "),IF(AND($I$73&gt;0,$F$76&gt;0),"LA RISPOSTA DATA IN QUESTA SEZIONE NON VERRA' CONSIDERATA PERCHE' E' STATO RISPOSTO NO ALLA DOMANDA 31",IF(F76&gt;0,"RISPONDERE ALLA DOMANDA 31","  "))))</f>
        <v xml:space="preserve">  </v>
      </c>
      <c r="I76" s="301">
        <f>F76</f>
        <v>0</v>
      </c>
    </row>
    <row r="77" spans="1:44" ht="15" customHeight="1" x14ac:dyDescent="0.15">
      <c r="B77" s="838"/>
      <c r="C77" s="877"/>
      <c r="D77" s="877"/>
      <c r="E77" s="671"/>
      <c r="F77" s="558"/>
      <c r="G77" s="557"/>
      <c r="H77" s="878"/>
      <c r="I77" s="454"/>
    </row>
    <row r="78" spans="1:44" ht="15" customHeight="1" x14ac:dyDescent="0.15">
      <c r="B78" s="838"/>
      <c r="C78" s="877"/>
      <c r="D78" s="877"/>
      <c r="E78" s="671"/>
      <c r="F78" s="455" t="s">
        <v>271</v>
      </c>
      <c r="G78" s="455" t="s">
        <v>272</v>
      </c>
      <c r="H78" s="1290" t="str">
        <f t="array" ref="H78">IF(AND('t3'!O6:P8=0,$I$79=1),"CONTROLLARE SEGRETARI 'OUT' NELLA TABELLA 3",IF(AND('t3'!G6:H8=0,$I$79=2),"CONTROLLARE SEGRETARI 'IN' NELLA TABELLA 3"," "))</f>
        <v xml:space="preserve"> </v>
      </c>
      <c r="I78" s="454"/>
    </row>
    <row r="79" spans="1:44" ht="31.35" customHeight="1" x14ac:dyDescent="0.15">
      <c r="B79" s="512">
        <v>33</v>
      </c>
      <c r="C79" s="1390" t="s">
        <v>926</v>
      </c>
      <c r="D79" s="1390"/>
      <c r="E79" s="1391"/>
      <c r="F79" s="875"/>
      <c r="G79" s="876"/>
      <c r="H79" s="881" t="str">
        <f>IF(I73=2,"LA RISPOSTA DATA IN QUESTA SEZIONE NON VERRA' CONSIDERATA PERCHE' E' STATO RISPOSTO NO ALLA DOMANDA 31",IF($I$73=1,IF(($I$79)=0,"RISPONDERE OBBLIGATORIAMENTE ALLA DOMANDA"," "),IF(AND($I$73&gt;0,$I$79&gt;0),"LA RISPOSTA DATA IN QUESTA SEZIONE NON VERRA' CONSIDERATA PERCHE' E' STATO RISPOSTO NO ALLA DOMANDA 31",IF(I79&gt;0,"RISPONDERE ALLA DOMANDA 31","  "))))</f>
        <v xml:space="preserve">  </v>
      </c>
      <c r="I79" s="454">
        <v>0</v>
      </c>
      <c r="J79" s="480" t="str">
        <f>IF(I79=1,"VERO",IF(I79=2,"FALSO",""))</f>
        <v/>
      </c>
    </row>
    <row r="80" spans="1:44" ht="15" customHeight="1" x14ac:dyDescent="0.15">
      <c r="C80" s="882"/>
      <c r="D80" s="882"/>
      <c r="E80" s="874"/>
      <c r="G80" s="859"/>
      <c r="H80" s="883"/>
      <c r="I80" s="454"/>
    </row>
    <row r="81" spans="1:44" ht="15" customHeight="1" x14ac:dyDescent="0.15">
      <c r="C81" s="1414"/>
      <c r="D81" s="1414"/>
      <c r="F81" s="455" t="s">
        <v>927</v>
      </c>
      <c r="H81" s="663"/>
      <c r="I81" s="454"/>
    </row>
    <row r="82" spans="1:44" ht="53.1" customHeight="1" x14ac:dyDescent="0.15">
      <c r="A82" s="556"/>
      <c r="B82" s="512">
        <v>34</v>
      </c>
      <c r="C82" s="1390" t="s">
        <v>928</v>
      </c>
      <c r="D82" s="1390"/>
      <c r="E82" s="1391"/>
      <c r="F82" s="884"/>
      <c r="G82" s="885"/>
      <c r="H82" s="881" t="str">
        <f>IF(I73=2,"LA RISPOSTA DATA IN QUESTA SEZIONE NON VERRA' CONSIDERATA PERCHE' E' STATO RISPOSTO NO ALLA DOMANDA 31",IF($I$79=2,IF(($F$82)=0,"RISPOSTA OBBLIGATORIA: SCRIVERE CORRETTAMENTE IL CODICE DELL'ENTE CAPOFILA"," "),IF(AND($I$79=1,F82&gt;0),"LA RISPOSTA DATA A QUESTA DOMANDA NON VERRA' CONSIDERATA PERCHE' L'ENTE E' CAPOFILA",IF(F82&gt;0,"RISPONDERE ALLA DOMANDA 33"," "))))</f>
        <v xml:space="preserve"> </v>
      </c>
      <c r="I82" s="301">
        <f>F82</f>
        <v>0</v>
      </c>
    </row>
    <row r="83" spans="1:44" ht="15" hidden="1" customHeight="1" x14ac:dyDescent="0.15">
      <c r="H83" s="663"/>
      <c r="I83" s="454"/>
    </row>
    <row r="84" spans="1:44" hidden="1" x14ac:dyDescent="0.15">
      <c r="H84" s="663"/>
      <c r="I84" s="454"/>
      <c r="L84" s="1286"/>
      <c r="M84" s="1286"/>
      <c r="N84" s="1286"/>
      <c r="O84" s="1286"/>
      <c r="P84" s="1286"/>
      <c r="Q84" s="1286"/>
      <c r="R84" s="1286"/>
      <c r="S84" s="1286"/>
      <c r="T84" s="1286"/>
      <c r="U84" s="1286"/>
      <c r="V84" s="1286"/>
      <c r="W84" s="1286"/>
      <c r="X84" s="1286"/>
      <c r="Y84" s="1286"/>
      <c r="Z84" s="1286"/>
      <c r="AA84" s="1286"/>
      <c r="AB84" s="1286"/>
      <c r="AC84" s="1286"/>
      <c r="AD84" s="1286"/>
      <c r="AE84" s="1286"/>
      <c r="AF84" s="1286"/>
      <c r="AG84" s="1286"/>
      <c r="AH84" s="1286"/>
      <c r="AI84" s="1286"/>
      <c r="AJ84" s="1286"/>
      <c r="AK84" s="1286"/>
      <c r="AL84" s="1286"/>
      <c r="AM84" s="1286"/>
      <c r="AN84" s="1286"/>
      <c r="AO84" s="1286"/>
      <c r="AP84" s="1286"/>
      <c r="AQ84" s="1286"/>
      <c r="AR84" s="1286"/>
    </row>
    <row r="85" spans="1:44" hidden="1" x14ac:dyDescent="0.15">
      <c r="H85" s="663"/>
      <c r="I85" s="454"/>
      <c r="L85" s="1286"/>
      <c r="M85" s="1286"/>
      <c r="N85" s="1286"/>
      <c r="O85" s="1286"/>
      <c r="P85" s="1286"/>
      <c r="Q85" s="1286"/>
      <c r="R85" s="1286"/>
      <c r="S85" s="1286"/>
      <c r="T85" s="1286"/>
      <c r="U85" s="1286"/>
      <c r="V85" s="1286"/>
      <c r="W85" s="1286"/>
      <c r="X85" s="1286"/>
      <c r="Y85" s="1286"/>
      <c r="Z85" s="1286"/>
      <c r="AA85" s="1286"/>
      <c r="AB85" s="1286"/>
      <c r="AC85" s="1286"/>
      <c r="AD85" s="1286"/>
      <c r="AE85" s="1286"/>
      <c r="AF85" s="1286"/>
      <c r="AG85" s="1286"/>
      <c r="AH85" s="1286"/>
      <c r="AI85" s="1286"/>
      <c r="AJ85" s="1286"/>
      <c r="AK85" s="1286"/>
      <c r="AL85" s="1286"/>
      <c r="AM85" s="1286"/>
      <c r="AN85" s="1286"/>
      <c r="AO85" s="1286"/>
      <c r="AP85" s="1286"/>
      <c r="AQ85" s="1286"/>
      <c r="AR85" s="1286"/>
    </row>
    <row r="86" spans="1:44" hidden="1" x14ac:dyDescent="0.15">
      <c r="H86" s="663"/>
      <c r="I86" s="454"/>
      <c r="L86" s="1286"/>
      <c r="M86" s="1286"/>
      <c r="N86" s="1286"/>
      <c r="O86" s="1286"/>
      <c r="P86" s="1286"/>
      <c r="Q86" s="1286"/>
      <c r="R86" s="1286"/>
      <c r="S86" s="1286"/>
      <c r="T86" s="1286"/>
      <c r="U86" s="1286"/>
      <c r="V86" s="1286"/>
      <c r="W86" s="1286"/>
      <c r="X86" s="1286"/>
      <c r="Y86" s="1286"/>
      <c r="Z86" s="1286"/>
      <c r="AA86" s="1286"/>
      <c r="AB86" s="1286"/>
      <c r="AC86" s="1286"/>
      <c r="AD86" s="1286"/>
      <c r="AE86" s="1286"/>
      <c r="AF86" s="1286"/>
      <c r="AG86" s="1286"/>
      <c r="AH86" s="1286"/>
      <c r="AI86" s="1286"/>
      <c r="AJ86" s="1286"/>
      <c r="AK86" s="1286"/>
      <c r="AL86" s="1286"/>
      <c r="AM86" s="1286"/>
      <c r="AN86" s="1286"/>
      <c r="AO86" s="1286"/>
      <c r="AP86" s="1286"/>
      <c r="AQ86" s="1286"/>
      <c r="AR86" s="1286"/>
    </row>
    <row r="87" spans="1:44" hidden="1" x14ac:dyDescent="0.15">
      <c r="H87" s="663"/>
      <c r="I87" s="454"/>
      <c r="L87" s="1286"/>
      <c r="M87" s="1286"/>
      <c r="N87" s="1286"/>
      <c r="O87" s="1286"/>
      <c r="P87" s="1286"/>
      <c r="Q87" s="1286"/>
      <c r="R87" s="1286"/>
      <c r="S87" s="1286"/>
      <c r="T87" s="1286"/>
      <c r="U87" s="1286"/>
      <c r="V87" s="1286"/>
      <c r="W87" s="1286"/>
      <c r="X87" s="1286"/>
      <c r="Y87" s="1286"/>
      <c r="Z87" s="1286"/>
      <c r="AA87" s="1286"/>
      <c r="AB87" s="1286"/>
      <c r="AC87" s="1286"/>
      <c r="AD87" s="1286"/>
      <c r="AE87" s="1286"/>
      <c r="AF87" s="1286"/>
      <c r="AG87" s="1286"/>
      <c r="AH87" s="1286"/>
      <c r="AI87" s="1286"/>
      <c r="AJ87" s="1286"/>
      <c r="AK87" s="1286"/>
      <c r="AL87" s="1286"/>
      <c r="AM87" s="1286"/>
      <c r="AN87" s="1286"/>
      <c r="AO87" s="1286"/>
      <c r="AP87" s="1286"/>
      <c r="AQ87" s="1286"/>
      <c r="AR87" s="1286"/>
    </row>
    <row r="88" spans="1:44" ht="15" hidden="1" customHeight="1" x14ac:dyDescent="0.15">
      <c r="B88" s="448"/>
      <c r="C88" s="448"/>
      <c r="D88" s="448"/>
      <c r="E88" s="448"/>
      <c r="F88" s="448"/>
      <c r="G88" s="448"/>
      <c r="H88" s="841"/>
      <c r="I88" s="405"/>
      <c r="L88" s="1286"/>
      <c r="M88" s="1286"/>
      <c r="N88" s="1286"/>
      <c r="O88" s="1286"/>
      <c r="P88" s="1286"/>
      <c r="Q88" s="1286"/>
      <c r="R88" s="1286"/>
      <c r="S88" s="1286"/>
      <c r="T88" s="1286"/>
      <c r="U88" s="1286"/>
      <c r="V88" s="1286"/>
      <c r="W88" s="1286"/>
      <c r="X88" s="1286"/>
      <c r="Y88" s="1286"/>
      <c r="Z88" s="1286"/>
      <c r="AA88" s="1286"/>
      <c r="AB88" s="1286"/>
      <c r="AC88" s="1286"/>
      <c r="AD88" s="1286"/>
      <c r="AE88" s="1286"/>
      <c r="AF88" s="1286"/>
      <c r="AG88" s="1286"/>
      <c r="AH88" s="1286"/>
      <c r="AI88" s="1286"/>
      <c r="AJ88" s="1286"/>
      <c r="AK88" s="1286"/>
      <c r="AL88" s="1286"/>
      <c r="AM88" s="1286"/>
      <c r="AN88" s="1286"/>
      <c r="AO88" s="1286"/>
      <c r="AP88" s="1286"/>
      <c r="AQ88" s="1286"/>
      <c r="AR88" s="1286"/>
    </row>
    <row r="89" spans="1:44" ht="15" hidden="1" customHeight="1" x14ac:dyDescent="0.15">
      <c r="B89" s="448"/>
      <c r="C89" s="448"/>
      <c r="D89" s="448"/>
      <c r="E89" s="448"/>
      <c r="F89" s="448"/>
      <c r="G89" s="448"/>
      <c r="H89" s="841"/>
      <c r="I89" s="405"/>
      <c r="L89" s="1286"/>
      <c r="M89" s="1286"/>
      <c r="N89" s="1286"/>
      <c r="O89" s="1286"/>
      <c r="P89" s="1286"/>
      <c r="Q89" s="1286"/>
      <c r="R89" s="1286"/>
      <c r="S89" s="1286"/>
      <c r="T89" s="1286"/>
      <c r="U89" s="1286"/>
      <c r="V89" s="1286"/>
      <c r="W89" s="1286"/>
      <c r="X89" s="1286"/>
      <c r="Y89" s="1286"/>
      <c r="Z89" s="1286"/>
      <c r="AA89" s="1286"/>
      <c r="AB89" s="1286"/>
      <c r="AC89" s="1286"/>
      <c r="AD89" s="1286"/>
      <c r="AE89" s="1286"/>
      <c r="AF89" s="1286"/>
      <c r="AG89" s="1286"/>
      <c r="AH89" s="1286"/>
      <c r="AI89" s="1286"/>
      <c r="AJ89" s="1286"/>
      <c r="AK89" s="1286"/>
      <c r="AL89" s="1286"/>
      <c r="AM89" s="1286"/>
      <c r="AN89" s="1286"/>
      <c r="AO89" s="1286"/>
      <c r="AP89" s="1286"/>
      <c r="AQ89" s="1286"/>
      <c r="AR89" s="1286"/>
    </row>
    <row r="90" spans="1:44" ht="15" hidden="1" customHeight="1" x14ac:dyDescent="0.15">
      <c r="B90" s="448"/>
      <c r="C90" s="448"/>
      <c r="D90" s="448"/>
      <c r="E90" s="448"/>
      <c r="F90" s="448"/>
      <c r="G90" s="448"/>
      <c r="H90" s="841"/>
      <c r="I90" s="405"/>
      <c r="L90" s="1286"/>
      <c r="M90" s="1286"/>
      <c r="N90" s="1286"/>
      <c r="O90" s="1286"/>
      <c r="P90" s="1286"/>
      <c r="Q90" s="1286"/>
      <c r="R90" s="1286"/>
      <c r="S90" s="1286"/>
      <c r="T90" s="1286"/>
      <c r="U90" s="1286"/>
      <c r="V90" s="1286"/>
      <c r="W90" s="1286"/>
      <c r="X90" s="1286"/>
      <c r="Y90" s="1286"/>
      <c r="Z90" s="1286"/>
      <c r="AA90" s="1286"/>
      <c r="AB90" s="1286"/>
      <c r="AC90" s="1286"/>
      <c r="AD90" s="1286"/>
      <c r="AE90" s="1286"/>
      <c r="AF90" s="1286"/>
      <c r="AG90" s="1286"/>
      <c r="AH90" s="1286"/>
      <c r="AI90" s="1286"/>
      <c r="AJ90" s="1286"/>
      <c r="AK90" s="1286"/>
      <c r="AL90" s="1286"/>
      <c r="AM90" s="1286"/>
      <c r="AN90" s="1286"/>
      <c r="AO90" s="1286"/>
      <c r="AP90" s="1286"/>
      <c r="AQ90" s="1286"/>
      <c r="AR90" s="1286"/>
    </row>
    <row r="91" spans="1:44" ht="15" hidden="1" customHeight="1" x14ac:dyDescent="0.15">
      <c r="B91" s="448"/>
      <c r="C91" s="448"/>
      <c r="D91" s="448"/>
      <c r="E91" s="448"/>
      <c r="F91" s="448"/>
      <c r="G91" s="448"/>
      <c r="H91" s="841"/>
      <c r="I91" s="405"/>
      <c r="L91" s="1286"/>
      <c r="M91" s="1286"/>
      <c r="N91" s="1286"/>
      <c r="O91" s="1286"/>
      <c r="P91" s="1286"/>
      <c r="Q91" s="1286"/>
      <c r="R91" s="1286"/>
      <c r="S91" s="1286"/>
      <c r="T91" s="1286"/>
      <c r="U91" s="1286"/>
      <c r="V91" s="1286"/>
      <c r="W91" s="1286"/>
      <c r="X91" s="1286"/>
      <c r="Y91" s="1286"/>
      <c r="Z91" s="1286"/>
      <c r="AA91" s="1286"/>
      <c r="AB91" s="1286"/>
      <c r="AC91" s="1286"/>
      <c r="AD91" s="1286"/>
      <c r="AE91" s="1286"/>
      <c r="AF91" s="1286"/>
      <c r="AG91" s="1286"/>
      <c r="AH91" s="1286"/>
      <c r="AI91" s="1286"/>
      <c r="AJ91" s="1286"/>
      <c r="AK91" s="1286"/>
      <c r="AL91" s="1286"/>
      <c r="AM91" s="1286"/>
      <c r="AN91" s="1286"/>
      <c r="AO91" s="1286"/>
      <c r="AP91" s="1286"/>
      <c r="AQ91" s="1286"/>
      <c r="AR91" s="1286"/>
    </row>
    <row r="92" spans="1:44" ht="15" hidden="1" customHeight="1" x14ac:dyDescent="0.15">
      <c r="B92" s="448"/>
      <c r="C92" s="448"/>
      <c r="D92" s="448"/>
      <c r="E92" s="448"/>
      <c r="F92" s="448"/>
      <c r="G92" s="448"/>
      <c r="H92" s="841"/>
      <c r="I92" s="405"/>
      <c r="L92" s="1286"/>
      <c r="M92" s="1286"/>
      <c r="N92" s="1286"/>
      <c r="O92" s="1286"/>
      <c r="P92" s="1286"/>
      <c r="Q92" s="1286"/>
      <c r="R92" s="1286"/>
      <c r="S92" s="1286"/>
      <c r="T92" s="1286"/>
      <c r="U92" s="1286"/>
      <c r="V92" s="1286"/>
      <c r="W92" s="1286"/>
      <c r="X92" s="1286"/>
      <c r="Y92" s="1286"/>
      <c r="Z92" s="1286"/>
      <c r="AA92" s="1286"/>
      <c r="AB92" s="1286"/>
      <c r="AC92" s="1286"/>
      <c r="AD92" s="1286"/>
      <c r="AE92" s="1286"/>
      <c r="AF92" s="1286"/>
      <c r="AG92" s="1286"/>
      <c r="AH92" s="1286"/>
      <c r="AI92" s="1286"/>
      <c r="AJ92" s="1286"/>
      <c r="AK92" s="1286"/>
      <c r="AL92" s="1286"/>
      <c r="AM92" s="1286"/>
      <c r="AN92" s="1286"/>
      <c r="AO92" s="1286"/>
      <c r="AP92" s="1286"/>
      <c r="AQ92" s="1286"/>
      <c r="AR92" s="1286"/>
    </row>
    <row r="93" spans="1:44" ht="15" hidden="1" customHeight="1" x14ac:dyDescent="0.15">
      <c r="B93" s="448"/>
      <c r="C93" s="448"/>
      <c r="D93" s="448"/>
      <c r="E93" s="448"/>
      <c r="F93" s="448"/>
      <c r="G93" s="448"/>
      <c r="H93" s="841"/>
      <c r="I93" s="405"/>
      <c r="L93" s="1286"/>
      <c r="M93" s="1286"/>
      <c r="N93" s="1286"/>
      <c r="O93" s="1286"/>
      <c r="P93" s="1286"/>
      <c r="Q93" s="1286"/>
      <c r="R93" s="1286"/>
      <c r="S93" s="1286"/>
      <c r="T93" s="1286"/>
      <c r="U93" s="1286"/>
      <c r="V93" s="1286"/>
      <c r="W93" s="1286"/>
      <c r="X93" s="1286"/>
      <c r="Y93" s="1286"/>
      <c r="Z93" s="1286"/>
      <c r="AA93" s="1286"/>
      <c r="AB93" s="1286"/>
      <c r="AC93" s="1286"/>
      <c r="AD93" s="1286"/>
      <c r="AE93" s="1286"/>
      <c r="AF93" s="1286"/>
      <c r="AG93" s="1286"/>
      <c r="AH93" s="1286"/>
      <c r="AI93" s="1286"/>
      <c r="AJ93" s="1286"/>
      <c r="AK93" s="1286"/>
      <c r="AL93" s="1286"/>
      <c r="AM93" s="1286"/>
      <c r="AN93" s="1286"/>
      <c r="AO93" s="1286"/>
      <c r="AP93" s="1286"/>
      <c r="AQ93" s="1286"/>
      <c r="AR93" s="1286"/>
    </row>
    <row r="94" spans="1:44" ht="15" hidden="1" customHeight="1" x14ac:dyDescent="0.15">
      <c r="B94" s="448"/>
      <c r="C94" s="448"/>
      <c r="D94" s="448"/>
      <c r="E94" s="448"/>
      <c r="F94" s="448"/>
      <c r="G94" s="448"/>
      <c r="H94" s="841"/>
      <c r="I94" s="405"/>
      <c r="L94" s="1286"/>
      <c r="M94" s="1286"/>
      <c r="N94" s="1286"/>
      <c r="O94" s="1286"/>
      <c r="P94" s="1286"/>
      <c r="Q94" s="1286"/>
      <c r="R94" s="1286"/>
      <c r="S94" s="1286"/>
      <c r="T94" s="1286"/>
      <c r="U94" s="1286"/>
      <c r="V94" s="1286"/>
      <c r="W94" s="1286"/>
      <c r="X94" s="1286"/>
      <c r="Y94" s="1286"/>
      <c r="Z94" s="1286"/>
      <c r="AA94" s="1286"/>
      <c r="AB94" s="1286"/>
      <c r="AC94" s="1286"/>
      <c r="AD94" s="1286"/>
      <c r="AE94" s="1286"/>
      <c r="AF94" s="1286"/>
      <c r="AG94" s="1286"/>
      <c r="AH94" s="1286"/>
      <c r="AI94" s="1286"/>
      <c r="AJ94" s="1286"/>
      <c r="AK94" s="1286"/>
      <c r="AL94" s="1286"/>
      <c r="AM94" s="1286"/>
      <c r="AN94" s="1286"/>
      <c r="AO94" s="1286"/>
      <c r="AP94" s="1286"/>
      <c r="AQ94" s="1286"/>
      <c r="AR94" s="1286"/>
    </row>
    <row r="95" spans="1:44" ht="15" hidden="1" customHeight="1" x14ac:dyDescent="0.15">
      <c r="B95" s="448"/>
      <c r="C95" s="448"/>
      <c r="D95" s="448"/>
      <c r="E95" s="448"/>
      <c r="F95" s="448"/>
      <c r="G95" s="448"/>
      <c r="H95" s="841"/>
      <c r="I95" s="405"/>
      <c r="L95" s="1286"/>
      <c r="M95" s="1286"/>
      <c r="N95" s="1286"/>
      <c r="O95" s="1286"/>
      <c r="P95" s="1286"/>
      <c r="Q95" s="1286"/>
      <c r="R95" s="1286"/>
      <c r="S95" s="1286"/>
      <c r="T95" s="1286"/>
      <c r="U95" s="1286"/>
      <c r="V95" s="1286"/>
      <c r="W95" s="1286"/>
      <c r="X95" s="1286"/>
      <c r="Y95" s="1286"/>
      <c r="Z95" s="1286"/>
      <c r="AA95" s="1286"/>
      <c r="AB95" s="1286"/>
      <c r="AC95" s="1286"/>
      <c r="AD95" s="1286"/>
      <c r="AE95" s="1286"/>
      <c r="AF95" s="1286"/>
      <c r="AG95" s="1286"/>
      <c r="AH95" s="1286"/>
      <c r="AI95" s="1286"/>
      <c r="AJ95" s="1286"/>
      <c r="AK95" s="1286"/>
      <c r="AL95" s="1286"/>
      <c r="AM95" s="1286"/>
      <c r="AN95" s="1286"/>
      <c r="AO95" s="1286"/>
      <c r="AP95" s="1286"/>
      <c r="AQ95" s="1286"/>
      <c r="AR95" s="1286"/>
    </row>
    <row r="96" spans="1:44" ht="15" hidden="1" customHeight="1" x14ac:dyDescent="0.15">
      <c r="B96" s="448"/>
      <c r="C96" s="448"/>
      <c r="D96" s="448"/>
      <c r="E96" s="448"/>
      <c r="F96" s="448"/>
      <c r="G96" s="448"/>
      <c r="H96" s="841"/>
      <c r="I96" s="405"/>
      <c r="L96" s="1286"/>
      <c r="M96" s="1286"/>
      <c r="N96" s="1286"/>
      <c r="O96" s="1286"/>
      <c r="P96" s="1286"/>
      <c r="Q96" s="1286"/>
      <c r="R96" s="1286"/>
      <c r="S96" s="1286"/>
      <c r="T96" s="1286"/>
      <c r="U96" s="1286"/>
      <c r="V96" s="1286"/>
      <c r="W96" s="1286"/>
      <c r="X96" s="1286"/>
      <c r="Y96" s="1286"/>
      <c r="Z96" s="1286"/>
      <c r="AA96" s="1286"/>
      <c r="AB96" s="1286"/>
      <c r="AC96" s="1286"/>
      <c r="AD96" s="1286"/>
      <c r="AE96" s="1286"/>
      <c r="AF96" s="1286"/>
      <c r="AG96" s="1286"/>
      <c r="AH96" s="1286"/>
      <c r="AI96" s="1286"/>
      <c r="AJ96" s="1286"/>
      <c r="AK96" s="1286"/>
      <c r="AL96" s="1286"/>
      <c r="AM96" s="1286"/>
      <c r="AN96" s="1286"/>
      <c r="AO96" s="1286"/>
      <c r="AP96" s="1286"/>
      <c r="AQ96" s="1286"/>
      <c r="AR96" s="1286"/>
    </row>
    <row r="97" spans="1:44" ht="15" hidden="1" customHeight="1" x14ac:dyDescent="0.15">
      <c r="B97" s="448"/>
      <c r="C97" s="448"/>
      <c r="D97" s="448"/>
      <c r="E97" s="448"/>
      <c r="F97" s="448"/>
      <c r="G97" s="448"/>
      <c r="H97" s="841"/>
      <c r="I97" s="405"/>
      <c r="L97" s="1286"/>
      <c r="M97" s="1286"/>
      <c r="N97" s="1286"/>
      <c r="O97" s="1286"/>
      <c r="P97" s="1286"/>
      <c r="Q97" s="1286"/>
      <c r="R97" s="1286"/>
      <c r="S97" s="1286"/>
      <c r="T97" s="1286"/>
      <c r="U97" s="1286"/>
      <c r="V97" s="1286"/>
      <c r="W97" s="1286"/>
      <c r="X97" s="1286"/>
      <c r="Y97" s="1286"/>
      <c r="Z97" s="1286"/>
      <c r="AA97" s="1286"/>
      <c r="AB97" s="1286"/>
      <c r="AC97" s="1286"/>
      <c r="AD97" s="1286"/>
      <c r="AE97" s="1286"/>
      <c r="AF97" s="1286"/>
      <c r="AG97" s="1286"/>
      <c r="AH97" s="1286"/>
      <c r="AI97" s="1286"/>
      <c r="AJ97" s="1286"/>
      <c r="AK97" s="1286"/>
      <c r="AL97" s="1286"/>
      <c r="AM97" s="1286"/>
      <c r="AN97" s="1286"/>
      <c r="AO97" s="1286"/>
      <c r="AP97" s="1286"/>
      <c r="AQ97" s="1286"/>
      <c r="AR97" s="1286"/>
    </row>
    <row r="98" spans="1:44" ht="15" hidden="1" customHeight="1" x14ac:dyDescent="0.15">
      <c r="B98" s="448"/>
      <c r="C98" s="448"/>
      <c r="D98" s="448"/>
      <c r="E98" s="448"/>
      <c r="F98" s="448"/>
      <c r="G98" s="448"/>
      <c r="H98" s="841"/>
      <c r="I98" s="454"/>
      <c r="L98" s="1286"/>
      <c r="M98" s="1286"/>
      <c r="N98" s="1286"/>
      <c r="O98" s="1286"/>
      <c r="P98" s="1286"/>
      <c r="Q98" s="1286"/>
      <c r="R98" s="1286"/>
      <c r="S98" s="1286"/>
      <c r="T98" s="1286"/>
      <c r="U98" s="1286"/>
      <c r="V98" s="1286"/>
      <c r="W98" s="1286"/>
      <c r="X98" s="1286"/>
      <c r="Y98" s="1286"/>
      <c r="Z98" s="1286"/>
      <c r="AA98" s="1286"/>
      <c r="AB98" s="1286"/>
      <c r="AC98" s="1286"/>
      <c r="AD98" s="1286"/>
      <c r="AE98" s="1286"/>
      <c r="AF98" s="1286"/>
      <c r="AG98" s="1286"/>
      <c r="AH98" s="1286"/>
      <c r="AI98" s="1286"/>
      <c r="AJ98" s="1286"/>
      <c r="AK98" s="1286"/>
      <c r="AL98" s="1286"/>
      <c r="AM98" s="1286"/>
      <c r="AN98" s="1286"/>
      <c r="AO98" s="1286"/>
      <c r="AP98" s="1286"/>
      <c r="AQ98" s="1286"/>
      <c r="AR98" s="1286"/>
    </row>
    <row r="99" spans="1:44" ht="15" hidden="1" customHeight="1" x14ac:dyDescent="0.15">
      <c r="B99" s="448"/>
      <c r="C99" s="448"/>
      <c r="D99" s="448"/>
      <c r="E99" s="448"/>
      <c r="F99" s="448"/>
      <c r="G99" s="448"/>
      <c r="H99" s="841"/>
      <c r="I99" s="454"/>
      <c r="L99" s="1286"/>
      <c r="M99" s="1286"/>
      <c r="N99" s="1286"/>
      <c r="O99" s="1286"/>
      <c r="P99" s="1286"/>
      <c r="Q99" s="1286"/>
      <c r="R99" s="1286"/>
      <c r="S99" s="1286"/>
      <c r="T99" s="1286"/>
      <c r="U99" s="1286"/>
      <c r="V99" s="1286"/>
      <c r="W99" s="1286"/>
      <c r="X99" s="1286"/>
      <c r="Y99" s="1286"/>
      <c r="Z99" s="1286"/>
      <c r="AA99" s="1286"/>
      <c r="AB99" s="1286"/>
      <c r="AC99" s="1286"/>
      <c r="AD99" s="1286"/>
      <c r="AE99" s="1286"/>
      <c r="AF99" s="1286"/>
      <c r="AG99" s="1286"/>
      <c r="AH99" s="1286"/>
      <c r="AI99" s="1286"/>
      <c r="AJ99" s="1286"/>
      <c r="AK99" s="1286"/>
      <c r="AL99" s="1286"/>
      <c r="AM99" s="1286"/>
      <c r="AN99" s="1286"/>
      <c r="AO99" s="1286"/>
      <c r="AP99" s="1286"/>
      <c r="AQ99" s="1286"/>
      <c r="AR99" s="1286"/>
    </row>
    <row r="100" spans="1:44" ht="15" hidden="1" customHeight="1" x14ac:dyDescent="0.15">
      <c r="B100" s="448"/>
      <c r="C100" s="448"/>
      <c r="D100" s="448"/>
      <c r="E100" s="448"/>
      <c r="F100" s="448"/>
      <c r="G100" s="448"/>
      <c r="H100" s="841"/>
      <c r="I100" s="454"/>
      <c r="L100" s="1286"/>
      <c r="M100" s="1286"/>
      <c r="N100" s="1286"/>
      <c r="O100" s="1286"/>
      <c r="P100" s="1286"/>
      <c r="Q100" s="1286"/>
      <c r="R100" s="1286"/>
      <c r="S100" s="1286"/>
      <c r="T100" s="1286"/>
      <c r="U100" s="1286"/>
      <c r="V100" s="1286"/>
      <c r="W100" s="1286"/>
      <c r="X100" s="1286"/>
      <c r="Y100" s="1286"/>
      <c r="Z100" s="1286"/>
      <c r="AA100" s="1286"/>
      <c r="AB100" s="1286"/>
      <c r="AC100" s="1286"/>
      <c r="AD100" s="1286"/>
      <c r="AE100" s="1286"/>
      <c r="AF100" s="1286"/>
      <c r="AG100" s="1286"/>
      <c r="AH100" s="1286"/>
      <c r="AI100" s="1286"/>
      <c r="AJ100" s="1286"/>
      <c r="AK100" s="1286"/>
      <c r="AL100" s="1286"/>
      <c r="AM100" s="1286"/>
      <c r="AN100" s="1286"/>
      <c r="AO100" s="1286"/>
      <c r="AP100" s="1286"/>
      <c r="AQ100" s="1286"/>
      <c r="AR100" s="1286"/>
    </row>
    <row r="101" spans="1:44" ht="15" hidden="1" customHeight="1" x14ac:dyDescent="0.15">
      <c r="B101" s="448"/>
      <c r="C101" s="448"/>
      <c r="D101" s="448"/>
      <c r="E101" s="448"/>
      <c r="F101" s="448"/>
      <c r="G101" s="448"/>
      <c r="H101" s="841"/>
      <c r="I101" s="454"/>
      <c r="L101" s="1286"/>
      <c r="M101" s="1286"/>
      <c r="N101" s="1286"/>
      <c r="O101" s="1286"/>
      <c r="P101" s="1286"/>
      <c r="Q101" s="1286"/>
      <c r="R101" s="1286"/>
      <c r="S101" s="1286"/>
      <c r="T101" s="1286"/>
      <c r="U101" s="1286"/>
      <c r="V101" s="1286"/>
      <c r="W101" s="1286"/>
      <c r="X101" s="1286"/>
      <c r="Y101" s="1286"/>
      <c r="Z101" s="1286"/>
      <c r="AA101" s="1286"/>
      <c r="AB101" s="1286"/>
      <c r="AC101" s="1286"/>
      <c r="AD101" s="1286"/>
      <c r="AE101" s="1286"/>
      <c r="AF101" s="1286"/>
      <c r="AG101" s="1286"/>
      <c r="AH101" s="1286"/>
      <c r="AI101" s="1286"/>
      <c r="AJ101" s="1286"/>
      <c r="AK101" s="1286"/>
      <c r="AL101" s="1286"/>
      <c r="AM101" s="1286"/>
      <c r="AN101" s="1286"/>
      <c r="AO101" s="1286"/>
      <c r="AP101" s="1286"/>
      <c r="AQ101" s="1286"/>
      <c r="AR101" s="1286"/>
    </row>
    <row r="102" spans="1:44" ht="15" hidden="1" customHeight="1" x14ac:dyDescent="0.15">
      <c r="B102" s="448"/>
      <c r="C102" s="448"/>
      <c r="D102" s="448"/>
      <c r="E102" s="448"/>
      <c r="F102" s="448"/>
      <c r="G102" s="448"/>
      <c r="H102" s="841"/>
      <c r="I102" s="454"/>
      <c r="L102" s="1286"/>
      <c r="M102" s="1286"/>
      <c r="N102" s="1286"/>
      <c r="O102" s="1286"/>
      <c r="P102" s="1286"/>
      <c r="Q102" s="1286"/>
      <c r="R102" s="1286"/>
      <c r="S102" s="1286"/>
      <c r="T102" s="1286"/>
      <c r="U102" s="1286"/>
      <c r="V102" s="1286"/>
      <c r="W102" s="1286"/>
      <c r="X102" s="1286"/>
      <c r="Y102" s="1286"/>
      <c r="Z102" s="1286"/>
      <c r="AA102" s="1286"/>
      <c r="AB102" s="1286"/>
      <c r="AC102" s="1286"/>
      <c r="AD102" s="1286"/>
      <c r="AE102" s="1286"/>
      <c r="AF102" s="1286"/>
      <c r="AG102" s="1286"/>
      <c r="AH102" s="1286"/>
      <c r="AI102" s="1286"/>
      <c r="AJ102" s="1286"/>
      <c r="AK102" s="1286"/>
      <c r="AL102" s="1286"/>
      <c r="AM102" s="1286"/>
      <c r="AN102" s="1286"/>
      <c r="AO102" s="1286"/>
      <c r="AP102" s="1286"/>
      <c r="AQ102" s="1286"/>
      <c r="AR102" s="1286"/>
    </row>
    <row r="103" spans="1:44" ht="15" hidden="1" customHeight="1" x14ac:dyDescent="0.15">
      <c r="B103" s="448"/>
      <c r="C103" s="448"/>
      <c r="D103" s="448"/>
      <c r="E103" s="448"/>
      <c r="F103" s="448"/>
      <c r="G103" s="448"/>
      <c r="H103" s="841"/>
      <c r="I103" s="454"/>
      <c r="L103" s="1286"/>
      <c r="M103" s="1286"/>
      <c r="N103" s="1286"/>
      <c r="O103" s="1286"/>
      <c r="P103" s="1286"/>
      <c r="Q103" s="859"/>
      <c r="R103" s="1286"/>
      <c r="S103" s="1286"/>
      <c r="T103" s="1286"/>
      <c r="U103" s="1286"/>
      <c r="V103" s="1286"/>
      <c r="W103" s="1286"/>
      <c r="X103" s="1286"/>
      <c r="Y103" s="1286"/>
      <c r="Z103" s="1286"/>
      <c r="AA103" s="1286"/>
      <c r="AB103" s="1286"/>
      <c r="AC103" s="1286"/>
      <c r="AD103" s="1286"/>
      <c r="AE103" s="1286"/>
      <c r="AF103" s="1286"/>
      <c r="AG103" s="1286"/>
      <c r="AH103" s="1286"/>
      <c r="AI103" s="1286"/>
      <c r="AJ103" s="1286"/>
      <c r="AK103" s="1286"/>
      <c r="AL103" s="1286"/>
      <c r="AM103" s="1286"/>
      <c r="AN103" s="1286"/>
      <c r="AO103" s="1286"/>
      <c r="AP103" s="1286"/>
      <c r="AQ103" s="1286"/>
      <c r="AR103" s="1286"/>
    </row>
    <row r="104" spans="1:44" ht="15" hidden="1" customHeight="1" x14ac:dyDescent="0.15">
      <c r="B104" s="448"/>
      <c r="C104" s="448"/>
      <c r="D104" s="448"/>
      <c r="E104" s="448"/>
      <c r="F104" s="448"/>
      <c r="G104" s="448"/>
      <c r="H104" s="841"/>
      <c r="I104" s="454"/>
      <c r="L104" s="1286"/>
      <c r="M104" s="1286"/>
      <c r="N104" s="1286"/>
      <c r="O104" s="1286"/>
      <c r="P104" s="1286"/>
      <c r="Q104" s="859"/>
      <c r="R104" s="1286"/>
      <c r="S104" s="1286"/>
      <c r="T104" s="1286"/>
      <c r="U104" s="1286"/>
      <c r="V104" s="1286"/>
      <c r="W104" s="1286"/>
      <c r="X104" s="1286"/>
      <c r="Y104" s="1286"/>
      <c r="Z104" s="1286"/>
      <c r="AA104" s="1286"/>
      <c r="AB104" s="1286"/>
      <c r="AC104" s="1286"/>
      <c r="AD104" s="1286"/>
      <c r="AE104" s="1286"/>
      <c r="AF104" s="1286"/>
      <c r="AG104" s="1286"/>
      <c r="AH104" s="1286"/>
      <c r="AI104" s="1286"/>
      <c r="AJ104" s="1286"/>
      <c r="AK104" s="1286"/>
      <c r="AL104" s="1286"/>
      <c r="AM104" s="1286"/>
      <c r="AN104" s="1286"/>
      <c r="AO104" s="1286"/>
      <c r="AP104" s="1286"/>
      <c r="AQ104" s="1286"/>
      <c r="AR104" s="1286"/>
    </row>
    <row r="105" spans="1:44" ht="15" customHeight="1" x14ac:dyDescent="0.15">
      <c r="B105" s="448"/>
      <c r="C105" s="448"/>
      <c r="D105" s="448"/>
      <c r="E105" s="448"/>
      <c r="F105" s="448"/>
      <c r="G105" s="448"/>
      <c r="H105" s="841"/>
      <c r="I105" s="454"/>
      <c r="L105" s="1286"/>
      <c r="M105" s="1286"/>
      <c r="N105" s="1286"/>
      <c r="O105" s="1286"/>
      <c r="P105" s="1286"/>
      <c r="Q105" s="859"/>
      <c r="R105" s="1286"/>
      <c r="S105" s="1286"/>
      <c r="T105" s="1286"/>
      <c r="U105" s="1286"/>
      <c r="V105" s="1286"/>
      <c r="W105" s="1286"/>
      <c r="X105" s="1286"/>
      <c r="Y105" s="1286"/>
      <c r="Z105" s="1286"/>
      <c r="AA105" s="1286"/>
      <c r="AB105" s="1286"/>
      <c r="AC105" s="1286"/>
      <c r="AD105" s="1286"/>
      <c r="AE105" s="1286"/>
      <c r="AF105" s="1286"/>
      <c r="AG105" s="1286"/>
      <c r="AH105" s="1286"/>
      <c r="AI105" s="1286"/>
      <c r="AJ105" s="1286"/>
      <c r="AK105" s="1286"/>
      <c r="AL105" s="1286"/>
      <c r="AM105" s="1286"/>
      <c r="AN105" s="1286"/>
      <c r="AO105" s="1286"/>
      <c r="AP105" s="1286"/>
      <c r="AQ105" s="1286"/>
      <c r="AR105" s="1286"/>
    </row>
    <row r="106" spans="1:44" customFormat="1" x14ac:dyDescent="0.15">
      <c r="A106" s="511"/>
      <c r="B106" s="512"/>
      <c r="C106" s="512"/>
      <c r="D106" s="512"/>
      <c r="E106" s="512"/>
      <c r="F106" s="455" t="s">
        <v>411</v>
      </c>
      <c r="G106" s="512"/>
      <c r="H106" s="663"/>
      <c r="I106" s="355"/>
      <c r="L106" s="859"/>
      <c r="M106" s="859"/>
      <c r="N106" s="859"/>
      <c r="O106" s="859"/>
      <c r="P106" s="859"/>
      <c r="Q106" s="859"/>
      <c r="R106" s="859"/>
      <c r="S106" s="859"/>
      <c r="T106" s="859"/>
      <c r="U106" s="859"/>
      <c r="V106" s="859"/>
      <c r="W106" s="859"/>
      <c r="X106" s="859"/>
      <c r="Y106" s="859"/>
      <c r="Z106" s="859"/>
      <c r="AA106" s="859"/>
      <c r="AB106" s="859"/>
      <c r="AC106" s="859"/>
      <c r="AD106" s="859"/>
      <c r="AE106" s="859"/>
      <c r="AF106" s="859"/>
      <c r="AG106" s="859"/>
      <c r="AH106" s="859"/>
      <c r="AI106" s="859"/>
      <c r="AJ106" s="859"/>
      <c r="AK106" s="859"/>
      <c r="AL106" s="859"/>
      <c r="AM106" s="859"/>
      <c r="AN106" s="859"/>
      <c r="AO106" s="859"/>
      <c r="AP106" s="859"/>
      <c r="AQ106" s="859"/>
      <c r="AR106" s="859"/>
    </row>
    <row r="107" spans="1:44" customFormat="1" ht="36" customHeight="1" x14ac:dyDescent="0.15">
      <c r="A107" s="511" t="s">
        <v>637</v>
      </c>
      <c r="B107" s="1390" t="s">
        <v>755</v>
      </c>
      <c r="C107" s="1390"/>
      <c r="D107" s="1390"/>
      <c r="E107" s="1391"/>
      <c r="F107" s="457">
        <v>0</v>
      </c>
      <c r="G107" s="1406" t="str">
        <f>IF(F107="","RISPOSTA OBBLIGATORIA","")</f>
        <v/>
      </c>
      <c r="H107" s="1407"/>
      <c r="I107" s="301">
        <f>F107</f>
        <v>0</v>
      </c>
      <c r="L107" s="859"/>
      <c r="M107" s="859"/>
      <c r="N107" s="859"/>
      <c r="O107" s="859"/>
      <c r="P107" s="859"/>
      <c r="Q107" s="859"/>
      <c r="R107" s="859"/>
      <c r="S107" s="859"/>
      <c r="T107" s="859"/>
      <c r="U107" s="859"/>
      <c r="V107" s="859"/>
      <c r="W107" s="859"/>
      <c r="X107" s="859"/>
      <c r="Y107" s="859"/>
      <c r="Z107" s="859"/>
      <c r="AA107" s="859"/>
      <c r="AB107" s="859"/>
      <c r="AC107" s="859"/>
      <c r="AD107" s="859"/>
      <c r="AE107" s="859"/>
      <c r="AF107" s="859"/>
      <c r="AG107" s="859"/>
      <c r="AH107" s="859"/>
      <c r="AI107" s="859"/>
      <c r="AJ107" s="859"/>
      <c r="AK107" s="859"/>
      <c r="AL107" s="859"/>
      <c r="AM107" s="859"/>
      <c r="AN107" s="859"/>
      <c r="AO107" s="859"/>
      <c r="AP107" s="859"/>
      <c r="AQ107" s="859"/>
      <c r="AR107" s="859"/>
    </row>
    <row r="108" spans="1:44" customFormat="1" x14ac:dyDescent="0.15">
      <c r="A108" s="511"/>
      <c r="B108" s="512"/>
      <c r="C108" s="512"/>
      <c r="D108" s="512"/>
      <c r="E108" s="512"/>
      <c r="F108" s="512"/>
      <c r="G108" s="512"/>
      <c r="H108" s="663"/>
      <c r="I108" s="454"/>
      <c r="L108" s="859"/>
      <c r="M108" s="859"/>
      <c r="N108" s="859"/>
      <c r="O108" s="859"/>
      <c r="P108" s="859"/>
      <c r="Q108" s="859"/>
      <c r="R108" s="859"/>
      <c r="S108" s="859"/>
      <c r="T108" s="859"/>
      <c r="U108" s="859"/>
      <c r="V108" s="859"/>
      <c r="W108" s="859"/>
      <c r="X108" s="859"/>
      <c r="Y108" s="859"/>
      <c r="Z108" s="859"/>
      <c r="AA108" s="859"/>
      <c r="AB108" s="859"/>
      <c r="AC108" s="859"/>
      <c r="AD108" s="859"/>
      <c r="AE108" s="859"/>
      <c r="AF108" s="859"/>
      <c r="AG108" s="859"/>
      <c r="AH108" s="859"/>
      <c r="AI108" s="859"/>
      <c r="AJ108" s="859"/>
      <c r="AK108" s="859"/>
      <c r="AL108" s="859"/>
      <c r="AM108" s="859"/>
      <c r="AN108" s="859"/>
      <c r="AO108" s="859"/>
      <c r="AP108" s="859"/>
      <c r="AQ108" s="859"/>
      <c r="AR108" s="859"/>
    </row>
    <row r="109" spans="1:44" customFormat="1" x14ac:dyDescent="0.15">
      <c r="A109" s="511"/>
      <c r="B109" s="512"/>
      <c r="C109" s="512"/>
      <c r="D109" s="512"/>
      <c r="E109" s="512"/>
      <c r="F109" s="455" t="s">
        <v>411</v>
      </c>
      <c r="G109" s="512"/>
      <c r="H109" s="663"/>
      <c r="I109" s="454"/>
      <c r="L109" s="859"/>
      <c r="M109" s="859"/>
      <c r="N109" s="859"/>
      <c r="O109" s="859"/>
      <c r="P109" s="859"/>
      <c r="Q109" s="859"/>
      <c r="R109" s="859"/>
      <c r="S109" s="859"/>
      <c r="T109" s="859"/>
      <c r="U109" s="859"/>
      <c r="V109" s="859"/>
      <c r="W109" s="859"/>
      <c r="X109" s="859"/>
      <c r="Y109" s="859"/>
      <c r="Z109" s="859"/>
      <c r="AA109" s="859"/>
      <c r="AB109" s="859"/>
      <c r="AC109" s="859"/>
      <c r="AD109" s="859"/>
      <c r="AE109" s="859"/>
      <c r="AF109" s="859"/>
      <c r="AG109" s="859"/>
      <c r="AH109" s="859"/>
      <c r="AI109" s="859"/>
      <c r="AJ109" s="859"/>
      <c r="AK109" s="859"/>
      <c r="AL109" s="859"/>
      <c r="AM109" s="859"/>
      <c r="AN109" s="859"/>
      <c r="AO109" s="859"/>
      <c r="AP109" s="859"/>
      <c r="AQ109" s="859"/>
      <c r="AR109" s="859"/>
    </row>
    <row r="110" spans="1:44" customFormat="1" ht="36" customHeight="1" x14ac:dyDescent="0.15">
      <c r="A110" s="511" t="s">
        <v>638</v>
      </c>
      <c r="B110" s="1390" t="s">
        <v>756</v>
      </c>
      <c r="C110" s="1390"/>
      <c r="D110" s="1390"/>
      <c r="E110" s="1391"/>
      <c r="F110" s="457">
        <v>0</v>
      </c>
      <c r="G110" s="1406" t="str">
        <f>IF(F110="","RISPOSTA OBBLIGATORIA","")</f>
        <v/>
      </c>
      <c r="H110" s="1407"/>
      <c r="I110" s="301">
        <f>F110</f>
        <v>0</v>
      </c>
      <c r="L110" s="859"/>
      <c r="M110" s="859"/>
      <c r="N110" s="859"/>
      <c r="O110" s="859"/>
      <c r="P110" s="859"/>
      <c r="Q110" s="859"/>
      <c r="R110" s="859"/>
      <c r="S110" s="859"/>
      <c r="T110" s="859"/>
      <c r="U110" s="859"/>
      <c r="V110" s="859"/>
      <c r="W110" s="859"/>
      <c r="X110" s="859"/>
      <c r="Y110" s="859"/>
      <c r="Z110" s="859"/>
      <c r="AA110" s="859"/>
      <c r="AB110" s="859"/>
      <c r="AC110" s="859"/>
      <c r="AD110" s="859"/>
      <c r="AE110" s="859"/>
      <c r="AF110" s="859"/>
      <c r="AG110" s="859"/>
      <c r="AH110" s="859"/>
      <c r="AI110" s="859"/>
      <c r="AJ110" s="859"/>
      <c r="AK110" s="859"/>
      <c r="AL110" s="859"/>
      <c r="AM110" s="859"/>
      <c r="AN110" s="859"/>
      <c r="AO110" s="859"/>
      <c r="AP110" s="859"/>
      <c r="AQ110" s="859"/>
      <c r="AR110" s="859"/>
    </row>
    <row r="111" spans="1:44" customFormat="1" x14ac:dyDescent="0.15">
      <c r="A111" s="511"/>
      <c r="B111" s="512"/>
      <c r="C111" s="512"/>
      <c r="D111" s="512"/>
      <c r="E111" s="512"/>
      <c r="F111" s="512"/>
      <c r="G111" s="512"/>
      <c r="H111" s="663"/>
      <c r="I111" s="454"/>
      <c r="L111" s="859"/>
      <c r="M111" s="859"/>
      <c r="N111" s="859"/>
      <c r="O111" s="859"/>
      <c r="P111" s="859"/>
      <c r="Q111" s="1286"/>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row>
    <row r="112" spans="1:44" customFormat="1" x14ac:dyDescent="0.15">
      <c r="A112" s="511"/>
      <c r="B112" s="512"/>
      <c r="C112" s="512"/>
      <c r="D112" s="512"/>
      <c r="E112" s="512"/>
      <c r="F112" s="455" t="s">
        <v>411</v>
      </c>
      <c r="G112" s="512"/>
      <c r="H112" s="663"/>
      <c r="I112" s="454"/>
      <c r="L112" s="859"/>
      <c r="M112" s="859"/>
      <c r="N112" s="859"/>
      <c r="O112" s="859"/>
      <c r="P112" s="859"/>
      <c r="Q112" s="1286"/>
      <c r="R112" s="859"/>
      <c r="S112" s="859"/>
      <c r="T112" s="859"/>
      <c r="U112" s="859"/>
      <c r="V112" s="859"/>
      <c r="W112" s="859"/>
      <c r="X112" s="859"/>
      <c r="Y112" s="859"/>
      <c r="Z112" s="859"/>
      <c r="AA112" s="859"/>
      <c r="AB112" s="859"/>
      <c r="AC112" s="859"/>
      <c r="AD112" s="859"/>
      <c r="AE112" s="859"/>
      <c r="AF112" s="859"/>
      <c r="AG112" s="859"/>
      <c r="AH112" s="859"/>
      <c r="AI112" s="859"/>
      <c r="AJ112" s="859"/>
      <c r="AK112" s="859"/>
      <c r="AL112" s="859"/>
      <c r="AM112" s="859"/>
      <c r="AN112" s="859"/>
      <c r="AO112" s="859"/>
      <c r="AP112" s="859"/>
      <c r="AQ112" s="859"/>
      <c r="AR112" s="859"/>
    </row>
    <row r="113" spans="1:44" customFormat="1" ht="36" customHeight="1" x14ac:dyDescent="0.15">
      <c r="A113" s="511" t="s">
        <v>639</v>
      </c>
      <c r="B113" s="1390" t="s">
        <v>757</v>
      </c>
      <c r="C113" s="1390"/>
      <c r="D113" s="1390"/>
      <c r="E113" s="1391"/>
      <c r="F113" s="457">
        <v>0</v>
      </c>
      <c r="G113" s="1406" t="str">
        <f>IF(F113="","RISPOSTA OBBLIGATORIA","")</f>
        <v/>
      </c>
      <c r="H113" s="1407"/>
      <c r="I113" s="301">
        <f>F113</f>
        <v>0</v>
      </c>
      <c r="L113" s="859"/>
      <c r="M113" s="859"/>
      <c r="N113" s="859"/>
      <c r="O113" s="859"/>
      <c r="P113" s="859"/>
      <c r="Q113" s="1286"/>
      <c r="R113" s="859"/>
      <c r="S113" s="859"/>
      <c r="T113" s="859"/>
      <c r="U113" s="859"/>
      <c r="V113" s="859"/>
      <c r="W113" s="859"/>
      <c r="X113" s="859"/>
      <c r="Y113" s="859"/>
      <c r="Z113" s="859"/>
      <c r="AA113" s="859"/>
      <c r="AB113" s="859"/>
      <c r="AC113" s="859"/>
      <c r="AD113" s="859"/>
      <c r="AE113" s="859"/>
      <c r="AF113" s="859"/>
      <c r="AG113" s="859"/>
      <c r="AH113" s="859"/>
      <c r="AI113" s="859"/>
      <c r="AJ113" s="859"/>
      <c r="AK113" s="859"/>
      <c r="AL113" s="859"/>
      <c r="AM113" s="859"/>
      <c r="AN113" s="859"/>
      <c r="AO113" s="859"/>
      <c r="AP113" s="859"/>
      <c r="AQ113" s="859"/>
      <c r="AR113" s="859"/>
    </row>
    <row r="114" spans="1:44" ht="15" customHeight="1" x14ac:dyDescent="0.15">
      <c r="B114" s="448"/>
      <c r="C114" s="448"/>
      <c r="D114" s="448"/>
      <c r="E114" s="448"/>
      <c r="F114" s="448"/>
      <c r="G114" s="448"/>
      <c r="H114" s="841"/>
      <c r="I114" s="405"/>
      <c r="L114" s="1286"/>
      <c r="M114" s="1286"/>
      <c r="N114" s="1286"/>
      <c r="O114" s="1286"/>
      <c r="P114" s="1286"/>
      <c r="Q114" s="1286"/>
      <c r="R114" s="1286"/>
      <c r="S114" s="1286"/>
      <c r="T114" s="1286"/>
      <c r="U114" s="1286"/>
      <c r="V114" s="1286"/>
      <c r="W114" s="1286"/>
      <c r="X114" s="1286"/>
      <c r="Y114" s="1286"/>
      <c r="Z114" s="1286"/>
      <c r="AA114" s="1286"/>
      <c r="AB114" s="1286"/>
      <c r="AC114" s="1286"/>
      <c r="AD114" s="1286"/>
      <c r="AE114" s="1286"/>
      <c r="AF114" s="1286"/>
      <c r="AG114" s="1286"/>
      <c r="AH114" s="1286"/>
      <c r="AI114" s="1286"/>
      <c r="AJ114" s="1286"/>
      <c r="AK114" s="1286"/>
      <c r="AL114" s="1286"/>
      <c r="AM114" s="1286"/>
      <c r="AN114" s="1286"/>
      <c r="AO114" s="1286"/>
      <c r="AP114" s="1286"/>
      <c r="AQ114" s="1286"/>
      <c r="AR114" s="1286"/>
    </row>
    <row r="115" spans="1:44" ht="15" customHeight="1" x14ac:dyDescent="0.15">
      <c r="F115" s="455" t="s">
        <v>271</v>
      </c>
      <c r="G115" s="455" t="s">
        <v>272</v>
      </c>
      <c r="H115" s="663"/>
      <c r="I115" s="482"/>
      <c r="L115" s="1286"/>
      <c r="M115" s="1286"/>
      <c r="N115" s="1286"/>
      <c r="O115" s="1286"/>
      <c r="P115" s="1286"/>
      <c r="Q115" s="1286"/>
      <c r="R115" s="1286"/>
      <c r="S115" s="1286"/>
      <c r="T115" s="1286"/>
      <c r="U115" s="1286"/>
      <c r="V115" s="1286"/>
      <c r="W115" s="1286"/>
      <c r="X115" s="1286"/>
      <c r="Y115" s="1286"/>
      <c r="Z115" s="1286"/>
      <c r="AA115" s="1286"/>
      <c r="AB115" s="1286"/>
      <c r="AC115" s="1286"/>
      <c r="AD115" s="1286"/>
      <c r="AE115" s="1286"/>
      <c r="AF115" s="1286"/>
      <c r="AG115" s="1286"/>
      <c r="AH115" s="1286"/>
      <c r="AI115" s="1286"/>
      <c r="AJ115" s="1286"/>
      <c r="AK115" s="1286"/>
      <c r="AL115" s="1286"/>
      <c r="AM115" s="1286"/>
      <c r="AN115" s="1286"/>
      <c r="AO115" s="1286"/>
      <c r="AP115" s="1286"/>
      <c r="AQ115" s="1286"/>
      <c r="AR115" s="1286"/>
    </row>
    <row r="116" spans="1:44" ht="43.5" customHeight="1" x14ac:dyDescent="0.15">
      <c r="A116" s="1291" t="s">
        <v>673</v>
      </c>
      <c r="B116" s="1396" t="s">
        <v>865</v>
      </c>
      <c r="C116" s="1396"/>
      <c r="D116" s="1396"/>
      <c r="E116" s="1397"/>
      <c r="F116" s="431"/>
      <c r="G116" s="431"/>
      <c r="H116" s="568" t="str">
        <f>IF(I116=0,"RISPOSTA OBBLIGATORIA","")</f>
        <v>RISPOSTA OBBLIGATORIA</v>
      </c>
      <c r="I116" s="481">
        <v>0</v>
      </c>
      <c r="J116" s="480" t="str">
        <f>IF(I116=1,"VERO",IF(I116=2,"FALSO",""))</f>
        <v/>
      </c>
      <c r="L116" s="1286"/>
      <c r="M116" s="1286"/>
      <c r="N116" s="1286"/>
      <c r="O116" s="1286"/>
      <c r="P116" s="1286"/>
      <c r="Q116" s="1286"/>
      <c r="R116" s="1286"/>
      <c r="S116" s="1286"/>
      <c r="T116" s="1286"/>
      <c r="U116" s="1286"/>
      <c r="V116" s="1286"/>
      <c r="W116" s="1286"/>
      <c r="X116" s="1286"/>
      <c r="Y116" s="1286"/>
      <c r="Z116" s="1286"/>
      <c r="AA116" s="1286"/>
      <c r="AB116" s="1286"/>
      <c r="AC116" s="1286"/>
      <c r="AD116" s="1286"/>
      <c r="AE116" s="1286"/>
      <c r="AF116" s="1286"/>
      <c r="AG116" s="1286"/>
      <c r="AH116" s="1286"/>
      <c r="AI116" s="1286"/>
      <c r="AJ116" s="1286"/>
      <c r="AK116" s="1286"/>
      <c r="AL116" s="1286"/>
      <c r="AM116" s="1286"/>
      <c r="AN116" s="1286"/>
      <c r="AO116" s="1286"/>
      <c r="AP116" s="1286"/>
      <c r="AQ116" s="1286"/>
      <c r="AR116" s="1286"/>
    </row>
    <row r="117" spans="1:44" ht="15" customHeight="1" x14ac:dyDescent="0.15">
      <c r="F117" s="453"/>
      <c r="H117" s="663"/>
      <c r="I117" s="454"/>
    </row>
    <row r="118" spans="1:44" ht="15" customHeight="1" x14ac:dyDescent="0.15">
      <c r="F118" s="455" t="s">
        <v>271</v>
      </c>
      <c r="G118" s="455" t="s">
        <v>272</v>
      </c>
      <c r="H118" s="663"/>
      <c r="I118" s="482"/>
    </row>
    <row r="119" spans="1:44" ht="46.5" customHeight="1" x14ac:dyDescent="0.15">
      <c r="A119" s="838" t="s">
        <v>600</v>
      </c>
      <c r="B119" s="1398" t="s">
        <v>674</v>
      </c>
      <c r="C119" s="1398"/>
      <c r="D119" s="1398"/>
      <c r="E119" s="1415"/>
      <c r="F119" s="517"/>
      <c r="G119" s="517"/>
      <c r="H119" s="568" t="str">
        <f>IF(I119=0,"RISPOSTA OBBLIGATORIA","")</f>
        <v>RISPOSTA OBBLIGATORIA</v>
      </c>
      <c r="I119" s="481">
        <v>0</v>
      </c>
      <c r="J119" s="480" t="str">
        <f>IF(I119=1,"VERO",IF(I119=2,"FALSO",""))</f>
        <v/>
      </c>
    </row>
    <row r="120" spans="1:44" ht="15.6" customHeight="1" x14ac:dyDescent="0.15">
      <c r="A120" s="838"/>
      <c r="B120" s="1292"/>
      <c r="C120" s="838"/>
      <c r="D120" s="1292"/>
      <c r="E120" s="1293"/>
      <c r="H120" s="568"/>
    </row>
    <row r="121" spans="1:44" ht="15" hidden="1" customHeight="1" x14ac:dyDescent="0.15">
      <c r="F121" s="1284"/>
      <c r="H121" s="568"/>
      <c r="I121" s="482"/>
    </row>
    <row r="122" spans="1:44" ht="49.35" hidden="1" customHeight="1" x14ac:dyDescent="0.85">
      <c r="A122" s="838" t="s">
        <v>601</v>
      </c>
      <c r="B122" s="1398"/>
      <c r="C122" s="1398"/>
      <c r="D122" s="1398"/>
      <c r="E122" s="1415"/>
      <c r="F122" s="857"/>
      <c r="G122" s="840"/>
      <c r="H122" s="568"/>
      <c r="I122" s="793">
        <v>0</v>
      </c>
    </row>
    <row r="123" spans="1:44" ht="15" hidden="1" customHeight="1" x14ac:dyDescent="0.15">
      <c r="F123" s="448"/>
      <c r="G123" s="448"/>
      <c r="H123" s="568"/>
      <c r="I123" s="405"/>
    </row>
    <row r="124" spans="1:44" ht="15" customHeight="1" x14ac:dyDescent="0.15">
      <c r="F124" s="455" t="s">
        <v>271</v>
      </c>
      <c r="G124" s="455" t="s">
        <v>272</v>
      </c>
      <c r="H124" s="663"/>
      <c r="I124" s="482"/>
    </row>
    <row r="125" spans="1:44" ht="43.5" customHeight="1" x14ac:dyDescent="0.15">
      <c r="A125" s="838" t="s">
        <v>676</v>
      </c>
      <c r="B125" s="1416" t="s">
        <v>1002</v>
      </c>
      <c r="C125" s="1416"/>
      <c r="D125" s="1416"/>
      <c r="E125" s="1417"/>
      <c r="F125" s="431"/>
      <c r="G125" s="431"/>
      <c r="H125" s="568" t="str">
        <f>IF(I125=0,"RISPOSTA OBBLIGATORIA","")</f>
        <v>RISPOSTA OBBLIGATORIA</v>
      </c>
      <c r="I125" s="481">
        <v>0</v>
      </c>
      <c r="J125" s="480" t="str">
        <f>IF(I125=1,"VERO",IF(I125=2,"FALSO",""))</f>
        <v/>
      </c>
    </row>
    <row r="126" spans="1:44" ht="15" customHeight="1" x14ac:dyDescent="0.15">
      <c r="F126" s="453"/>
      <c r="G126" s="843"/>
      <c r="H126" s="1285"/>
      <c r="I126" s="855"/>
      <c r="J126" s="1286"/>
      <c r="K126" s="1286"/>
      <c r="L126" s="1286"/>
      <c r="M126" s="1286"/>
    </row>
    <row r="127" spans="1:44" ht="15" customHeight="1" x14ac:dyDescent="0.15">
      <c r="F127" s="455" t="s">
        <v>411</v>
      </c>
      <c r="G127" s="843"/>
      <c r="H127" s="1285"/>
      <c r="I127" s="858"/>
      <c r="J127" s="859"/>
      <c r="K127" s="859"/>
      <c r="L127" s="859"/>
      <c r="M127" s="859"/>
    </row>
    <row r="128" spans="1:44" ht="46.5" customHeight="1" x14ac:dyDescent="0.15">
      <c r="A128" s="838" t="s">
        <v>677</v>
      </c>
      <c r="B128" s="1394" t="s">
        <v>966</v>
      </c>
      <c r="C128" s="1394"/>
      <c r="D128" s="1394"/>
      <c r="E128" s="1395"/>
      <c r="F128" s="457">
        <v>0</v>
      </c>
      <c r="G128" s="1406" t="str">
        <f>IF(F128="","RISPOSTA OBBLIGATORIA","")</f>
        <v/>
      </c>
      <c r="H128" s="1410"/>
      <c r="I128" s="301">
        <f>F128</f>
        <v>0</v>
      </c>
      <c r="J128" s="859"/>
      <c r="K128" s="859"/>
      <c r="L128" s="859"/>
      <c r="M128" s="859"/>
    </row>
    <row r="129" spans="1:9" ht="15" customHeight="1" x14ac:dyDescent="0.15">
      <c r="F129" s="453"/>
      <c r="H129" s="663"/>
      <c r="I129" s="454"/>
    </row>
    <row r="130" spans="1:9" ht="15" customHeight="1" x14ac:dyDescent="0.15">
      <c r="F130" s="455"/>
      <c r="H130" s="568"/>
      <c r="I130" s="482"/>
    </row>
    <row r="131" spans="1:9" ht="50.1" customHeight="1" x14ac:dyDescent="0.85">
      <c r="A131" s="838" t="s">
        <v>822</v>
      </c>
      <c r="B131" s="1398" t="s">
        <v>823</v>
      </c>
      <c r="C131" s="1398"/>
      <c r="D131" s="1398"/>
      <c r="E131" s="1415"/>
      <c r="F131" s="839" t="s">
        <v>675</v>
      </c>
      <c r="G131" s="840" t="str">
        <f>IF(I131=0,"←","")</f>
        <v>←</v>
      </c>
      <c r="H131" s="568" t="str">
        <f>IF(I131=0,"RISPOSTA OBBLIGATORIA - Cliccare sulla cella per selezionare la risposta","")</f>
        <v>RISPOSTA OBBLIGATORIA - Cliccare sulla cella per selezionare la risposta</v>
      </c>
      <c r="I131" s="454">
        <f>IF(F131="Sì, esiste un apposito Ufficio/Servizio",1,IF(F131="No",2,IF(F131="No, ma la funzione è esercitata da un altro ufficio","X",0)))</f>
        <v>0</v>
      </c>
    </row>
    <row r="132" spans="1:9" ht="15" customHeight="1" x14ac:dyDescent="0.15">
      <c r="B132" s="448"/>
      <c r="C132" s="448"/>
      <c r="D132" s="448"/>
      <c r="E132" s="448"/>
      <c r="F132" s="448"/>
      <c r="G132" s="448"/>
      <c r="H132" s="841"/>
      <c r="I132" s="454"/>
    </row>
    <row r="133" spans="1:9" ht="15" customHeight="1" x14ac:dyDescent="0.15">
      <c r="F133" s="455"/>
      <c r="H133" s="568"/>
      <c r="I133" s="482"/>
    </row>
    <row r="134" spans="1:9" ht="50.1" customHeight="1" x14ac:dyDescent="0.85">
      <c r="A134" s="838" t="s">
        <v>824</v>
      </c>
      <c r="B134" s="1398" t="s">
        <v>825</v>
      </c>
      <c r="C134" s="1398"/>
      <c r="D134" s="1398"/>
      <c r="E134" s="1415"/>
      <c r="F134" s="839" t="s">
        <v>675</v>
      </c>
      <c r="G134" s="840" t="str">
        <f>IF(I134=0,"←","")</f>
        <v>←</v>
      </c>
      <c r="H134" s="568" t="str">
        <f>IF(I134=0,"RISPOSTA OBBLIGATORIA - Cliccare sulla cella per selezionare la risposta","")</f>
        <v>RISPOSTA OBBLIGATORIA - Cliccare sulla cella per selezionare la risposta</v>
      </c>
      <c r="I134" s="793">
        <f>IF(F134="Sì, annuale per l'anno di rilevazione",1,IF(F134="No",2,IF(F134="Sì, pluriennale","X",0)))</f>
        <v>0</v>
      </c>
    </row>
    <row r="135" spans="1:9" ht="15" customHeight="1" x14ac:dyDescent="0.15">
      <c r="B135" s="448"/>
      <c r="C135" s="448"/>
      <c r="D135" s="448"/>
      <c r="E135" s="448"/>
      <c r="F135" s="448"/>
      <c r="G135" s="448"/>
      <c r="H135" s="841"/>
      <c r="I135" s="454"/>
    </row>
    <row r="136" spans="1:9" ht="33" customHeight="1" x14ac:dyDescent="0.15">
      <c r="A136" s="838" t="s">
        <v>826</v>
      </c>
      <c r="B136" s="1398" t="s">
        <v>827</v>
      </c>
      <c r="C136" s="1398"/>
      <c r="D136" s="1398"/>
      <c r="E136" s="1398"/>
      <c r="F136" s="448"/>
      <c r="G136" s="842" t="s">
        <v>828</v>
      </c>
      <c r="H136" s="841"/>
      <c r="I136" s="405"/>
    </row>
    <row r="137" spans="1:9" ht="15" customHeight="1" x14ac:dyDescent="0.15">
      <c r="B137" s="448"/>
      <c r="C137" s="1418" t="s">
        <v>829</v>
      </c>
      <c r="D137" s="1418"/>
      <c r="E137" s="1418"/>
      <c r="F137" s="455" t="s">
        <v>830</v>
      </c>
      <c r="G137" s="843"/>
      <c r="H137" s="844"/>
      <c r="I137" s="405"/>
    </row>
    <row r="138" spans="1:9" ht="15" customHeight="1" x14ac:dyDescent="0.15">
      <c r="C138" s="845" t="s">
        <v>831</v>
      </c>
      <c r="D138" s="846"/>
      <c r="E138" s="847"/>
      <c r="F138" s="457">
        <v>0</v>
      </c>
      <c r="G138" s="848" t="str">
        <f t="shared" ref="G138:G147" si="0">IF(F138="","RISPOSTA OBBLIGATORIA","")</f>
        <v/>
      </c>
      <c r="H138" s="1215"/>
      <c r="I138" s="460">
        <f>F138</f>
        <v>0</v>
      </c>
    </row>
    <row r="139" spans="1:9" ht="15" customHeight="1" x14ac:dyDescent="0.15">
      <c r="C139" s="846" t="s">
        <v>1003</v>
      </c>
      <c r="D139" s="849"/>
      <c r="E139" s="850"/>
      <c r="F139" s="457">
        <v>0</v>
      </c>
      <c r="G139" s="848" t="str">
        <f t="shared" si="0"/>
        <v/>
      </c>
      <c r="H139" s="1215"/>
      <c r="I139" s="460">
        <f t="shared" ref="I139:I147" si="1">F139</f>
        <v>0</v>
      </c>
    </row>
    <row r="140" spans="1:9" ht="15" hidden="1" customHeight="1" x14ac:dyDescent="0.15">
      <c r="C140" s="1294">
        <v>71</v>
      </c>
      <c r="D140" s="1295"/>
      <c r="E140" s="850"/>
      <c r="F140" s="457">
        <v>0</v>
      </c>
      <c r="G140" s="848"/>
      <c r="H140" s="1215"/>
      <c r="I140" s="460">
        <f t="shared" si="1"/>
        <v>0</v>
      </c>
    </row>
    <row r="141" spans="1:9" ht="15" customHeight="1" x14ac:dyDescent="0.15">
      <c r="C141" s="845" t="s">
        <v>832</v>
      </c>
      <c r="D141" s="849"/>
      <c r="E141" s="850"/>
      <c r="F141" s="457">
        <v>0</v>
      </c>
      <c r="G141" s="848" t="str">
        <f t="shared" si="0"/>
        <v/>
      </c>
      <c r="H141" s="1215"/>
      <c r="I141" s="460">
        <f t="shared" si="1"/>
        <v>0</v>
      </c>
    </row>
    <row r="142" spans="1:9" ht="15" customHeight="1" x14ac:dyDescent="0.15">
      <c r="C142" s="845" t="s">
        <v>833</v>
      </c>
      <c r="D142" s="849"/>
      <c r="E142" s="850"/>
      <c r="F142" s="457">
        <v>0</v>
      </c>
      <c r="G142" s="848" t="str">
        <f t="shared" si="0"/>
        <v/>
      </c>
      <c r="H142" s="1215"/>
      <c r="I142" s="460">
        <f t="shared" si="1"/>
        <v>0</v>
      </c>
    </row>
    <row r="143" spans="1:9" ht="15" customHeight="1" x14ac:dyDescent="0.15">
      <c r="C143" s="845" t="s">
        <v>834</v>
      </c>
      <c r="D143" s="849"/>
      <c r="E143" s="850"/>
      <c r="F143" s="457">
        <v>0</v>
      </c>
      <c r="G143" s="848" t="str">
        <f t="shared" si="0"/>
        <v/>
      </c>
      <c r="H143" s="1215"/>
      <c r="I143" s="460">
        <f t="shared" si="1"/>
        <v>0</v>
      </c>
    </row>
    <row r="144" spans="1:9" ht="15" customHeight="1" x14ac:dyDescent="0.15">
      <c r="C144" s="845" t="s">
        <v>835</v>
      </c>
      <c r="D144" s="849"/>
      <c r="E144" s="850"/>
      <c r="F144" s="457">
        <v>0</v>
      </c>
      <c r="G144" s="848" t="str">
        <f t="shared" si="0"/>
        <v/>
      </c>
      <c r="H144" s="1215"/>
      <c r="I144" s="460">
        <f t="shared" si="1"/>
        <v>0</v>
      </c>
    </row>
    <row r="145" spans="1:9" ht="15" customHeight="1" x14ac:dyDescent="0.15">
      <c r="C145" s="845" t="s">
        <v>836</v>
      </c>
      <c r="D145" s="849"/>
      <c r="E145" s="850"/>
      <c r="F145" s="457">
        <v>0</v>
      </c>
      <c r="G145" s="848" t="str">
        <f t="shared" si="0"/>
        <v/>
      </c>
      <c r="H145" s="1215"/>
      <c r="I145" s="460">
        <f t="shared" si="1"/>
        <v>0</v>
      </c>
    </row>
    <row r="146" spans="1:9" ht="15" customHeight="1" x14ac:dyDescent="0.15">
      <c r="C146" s="845" t="s">
        <v>837</v>
      </c>
      <c r="D146" s="849"/>
      <c r="E146" s="850"/>
      <c r="F146" s="457">
        <v>0</v>
      </c>
      <c r="G146" s="848" t="str">
        <f t="shared" si="0"/>
        <v/>
      </c>
      <c r="H146" s="1215"/>
      <c r="I146" s="460">
        <f t="shared" si="1"/>
        <v>0</v>
      </c>
    </row>
    <row r="147" spans="1:9" ht="15" customHeight="1" x14ac:dyDescent="0.15">
      <c r="C147" s="845" t="s">
        <v>838</v>
      </c>
      <c r="D147" s="849"/>
      <c r="E147" s="850"/>
      <c r="F147" s="457">
        <v>0</v>
      </c>
      <c r="G147" s="848" t="str">
        <f t="shared" si="0"/>
        <v/>
      </c>
      <c r="H147" s="1215"/>
      <c r="I147" s="460">
        <f t="shared" si="1"/>
        <v>0</v>
      </c>
    </row>
    <row r="148" spans="1:9" ht="15" customHeight="1" x14ac:dyDescent="0.15">
      <c r="B148" s="448"/>
      <c r="C148" s="448"/>
      <c r="D148" s="448"/>
      <c r="E148" s="448"/>
      <c r="F148" s="1296">
        <f>SUM(F138:F147)</f>
        <v>0</v>
      </c>
      <c r="G148" s="851"/>
      <c r="H148" s="852"/>
      <c r="I148" s="482"/>
    </row>
    <row r="149" spans="1:9" ht="36" customHeight="1" x14ac:dyDescent="0.15">
      <c r="A149" s="838" t="s">
        <v>839</v>
      </c>
      <c r="B149" s="1398" t="s">
        <v>1004</v>
      </c>
      <c r="C149" s="1398"/>
      <c r="D149" s="1398"/>
      <c r="E149" s="1398"/>
      <c r="F149" s="448"/>
      <c r="G149" s="842" t="s">
        <v>840</v>
      </c>
      <c r="H149" s="841"/>
      <c r="I149" s="405"/>
    </row>
    <row r="150" spans="1:9" ht="15" customHeight="1" x14ac:dyDescent="0.15">
      <c r="B150" s="448"/>
      <c r="C150" s="1418" t="s">
        <v>829</v>
      </c>
      <c r="D150" s="1418"/>
      <c r="E150" s="1418"/>
      <c r="F150" s="455" t="s">
        <v>858</v>
      </c>
      <c r="G150" s="843"/>
      <c r="H150" s="844"/>
      <c r="I150" s="405"/>
    </row>
    <row r="151" spans="1:9" ht="15" customHeight="1" x14ac:dyDescent="0.15">
      <c r="C151" s="845" t="s">
        <v>841</v>
      </c>
      <c r="D151" s="846"/>
      <c r="E151" s="847"/>
      <c r="F151" s="457">
        <v>0</v>
      </c>
      <c r="G151" s="848" t="str">
        <f t="shared" ref="G151:G159" si="2">IF(F151="","RISPOSTA OBBLIGATORIA","")</f>
        <v/>
      </c>
      <c r="H151" s="1215"/>
      <c r="I151" s="460">
        <f>F151</f>
        <v>0</v>
      </c>
    </row>
    <row r="152" spans="1:9" ht="15" customHeight="1" x14ac:dyDescent="0.15">
      <c r="C152" s="845" t="s">
        <v>842</v>
      </c>
      <c r="D152" s="849"/>
      <c r="E152" s="850"/>
      <c r="F152" s="457">
        <v>0</v>
      </c>
      <c r="G152" s="848" t="str">
        <f t="shared" si="2"/>
        <v/>
      </c>
      <c r="H152" s="1215"/>
      <c r="I152" s="460">
        <f t="shared" ref="I152:I159" si="3">F152</f>
        <v>0</v>
      </c>
    </row>
    <row r="153" spans="1:9" ht="15" customHeight="1" x14ac:dyDescent="0.15">
      <c r="C153" s="845" t="s">
        <v>843</v>
      </c>
      <c r="D153" s="849"/>
      <c r="E153" s="850"/>
      <c r="F153" s="457">
        <v>0</v>
      </c>
      <c r="G153" s="848" t="str">
        <f t="shared" si="2"/>
        <v/>
      </c>
      <c r="H153" s="1215"/>
      <c r="I153" s="460">
        <f t="shared" si="3"/>
        <v>0</v>
      </c>
    </row>
    <row r="154" spans="1:9" ht="15" customHeight="1" x14ac:dyDescent="0.15">
      <c r="C154" s="845" t="s">
        <v>844</v>
      </c>
      <c r="D154" s="849"/>
      <c r="E154" s="850"/>
      <c r="F154" s="457">
        <v>0</v>
      </c>
      <c r="G154" s="848" t="str">
        <f t="shared" si="2"/>
        <v/>
      </c>
      <c r="H154" s="1215"/>
      <c r="I154" s="460">
        <f t="shared" si="3"/>
        <v>0</v>
      </c>
    </row>
    <row r="155" spans="1:9" ht="15" customHeight="1" x14ac:dyDescent="0.15">
      <c r="C155" s="845" t="s">
        <v>845</v>
      </c>
      <c r="D155" s="849"/>
      <c r="E155" s="850"/>
      <c r="F155" s="457">
        <v>0</v>
      </c>
      <c r="G155" s="848" t="str">
        <f t="shared" si="2"/>
        <v/>
      </c>
      <c r="H155" s="1215"/>
      <c r="I155" s="460">
        <f t="shared" si="3"/>
        <v>0</v>
      </c>
    </row>
    <row r="156" spans="1:9" ht="15" customHeight="1" x14ac:dyDescent="0.15">
      <c r="C156" s="845" t="s">
        <v>846</v>
      </c>
      <c r="D156" s="849"/>
      <c r="E156" s="850"/>
      <c r="F156" s="457">
        <v>0</v>
      </c>
      <c r="G156" s="848" t="str">
        <f t="shared" si="2"/>
        <v/>
      </c>
      <c r="H156" s="1215"/>
      <c r="I156" s="460">
        <f t="shared" si="3"/>
        <v>0</v>
      </c>
    </row>
    <row r="157" spans="1:9" ht="15" customHeight="1" x14ac:dyDescent="0.15">
      <c r="C157" s="845" t="s">
        <v>847</v>
      </c>
      <c r="D157" s="849"/>
      <c r="E157" s="850"/>
      <c r="F157" s="457">
        <v>0</v>
      </c>
      <c r="G157" s="848" t="str">
        <f t="shared" si="2"/>
        <v/>
      </c>
      <c r="H157" s="1215"/>
      <c r="I157" s="460">
        <f t="shared" si="3"/>
        <v>0</v>
      </c>
    </row>
    <row r="158" spans="1:9" ht="15" customHeight="1" x14ac:dyDescent="0.15">
      <c r="C158" s="845" t="s">
        <v>848</v>
      </c>
      <c r="D158" s="849"/>
      <c r="E158" s="850"/>
      <c r="F158" s="457">
        <v>0</v>
      </c>
      <c r="G158" s="848" t="str">
        <f t="shared" si="2"/>
        <v/>
      </c>
      <c r="H158" s="1215"/>
      <c r="I158" s="460">
        <f t="shared" si="3"/>
        <v>0</v>
      </c>
    </row>
    <row r="159" spans="1:9" ht="15" customHeight="1" x14ac:dyDescent="0.15">
      <c r="C159" s="845" t="s">
        <v>849</v>
      </c>
      <c r="D159" s="849"/>
      <c r="E159" s="850"/>
      <c r="F159" s="457">
        <v>0</v>
      </c>
      <c r="G159" s="848" t="str">
        <f t="shared" si="2"/>
        <v/>
      </c>
      <c r="H159" s="1215"/>
      <c r="I159" s="460">
        <f t="shared" si="3"/>
        <v>0</v>
      </c>
    </row>
    <row r="160" spans="1:9" ht="15" customHeight="1" x14ac:dyDescent="0.15">
      <c r="B160" s="448"/>
      <c r="C160" s="448"/>
      <c r="D160" s="448"/>
      <c r="E160" s="448"/>
      <c r="F160" s="448"/>
      <c r="G160" s="448"/>
      <c r="H160" s="841"/>
      <c r="I160" s="405"/>
    </row>
    <row r="161" spans="1:10" ht="15" customHeight="1" x14ac:dyDescent="0.15">
      <c r="A161" s="838" t="s">
        <v>850</v>
      </c>
      <c r="B161" s="1398" t="s">
        <v>851</v>
      </c>
      <c r="C161" s="1398"/>
      <c r="D161" s="1398"/>
      <c r="E161" s="1398"/>
      <c r="F161" s="455" t="s">
        <v>271</v>
      </c>
      <c r="G161" s="455" t="s">
        <v>272</v>
      </c>
      <c r="H161" s="841"/>
    </row>
    <row r="162" spans="1:10" ht="21" customHeight="1" x14ac:dyDescent="0.15">
      <c r="B162" s="448"/>
      <c r="C162" s="1419" t="s">
        <v>852</v>
      </c>
      <c r="D162" s="1419"/>
      <c r="E162" s="1419"/>
      <c r="F162" s="431"/>
      <c r="G162" s="431"/>
      <c r="H162" s="853" t="str">
        <f>IF(I162=0,"RISPOSTA OBBLIGATORIA","")</f>
        <v>RISPOSTA OBBLIGATORIA</v>
      </c>
      <c r="I162" s="481">
        <v>0</v>
      </c>
      <c r="J162" s="480" t="str">
        <f>IF(I162=1,"VERO",IF(I162=2,"FALSO",""))</f>
        <v/>
      </c>
    </row>
    <row r="163" spans="1:10" ht="21" customHeight="1" x14ac:dyDescent="0.15">
      <c r="B163" s="448"/>
      <c r="C163" s="1419" t="s">
        <v>853</v>
      </c>
      <c r="D163" s="1419"/>
      <c r="E163" s="1419"/>
      <c r="F163" s="431"/>
      <c r="G163" s="431"/>
      <c r="H163" s="853" t="str">
        <f>IF(I163=0,"RISPOSTA OBBLIGATORIA","")</f>
        <v>RISPOSTA OBBLIGATORIA</v>
      </c>
      <c r="I163" s="481">
        <v>0</v>
      </c>
      <c r="J163" s="480" t="str">
        <f>IF(I163=1,"VERO",IF(I163=2,"FALSO",""))</f>
        <v/>
      </c>
    </row>
    <row r="164" spans="1:10" ht="21" customHeight="1" x14ac:dyDescent="0.15">
      <c r="B164" s="448"/>
      <c r="C164" s="1419" t="s">
        <v>854</v>
      </c>
      <c r="D164" s="1419"/>
      <c r="E164" s="1419"/>
      <c r="F164" s="431"/>
      <c r="G164" s="431"/>
      <c r="H164" s="853" t="str">
        <f>IF(I164=0,"RISPOSTA OBBLIGATORIA","")</f>
        <v>RISPOSTA OBBLIGATORIA</v>
      </c>
      <c r="I164" s="481">
        <v>0</v>
      </c>
      <c r="J164" s="480" t="str">
        <f>IF(I164=1,"VERO",IF(I164=2,"FALSO",""))</f>
        <v/>
      </c>
    </row>
    <row r="165" spans="1:10" ht="21" customHeight="1" x14ac:dyDescent="0.15">
      <c r="B165" s="448"/>
      <c r="C165" s="1419" t="s">
        <v>855</v>
      </c>
      <c r="D165" s="1419"/>
      <c r="E165" s="1419"/>
      <c r="F165" s="431"/>
      <c r="G165" s="431"/>
      <c r="H165" s="853" t="str">
        <f>IF(I165=0,"RISPOSTA OBBLIGATORIA","")</f>
        <v>RISPOSTA OBBLIGATORIA</v>
      </c>
      <c r="I165" s="481">
        <v>0</v>
      </c>
      <c r="J165" s="480" t="str">
        <f>IF(I165=1,"VERO",IF(I165=2,"FALSO",""))</f>
        <v/>
      </c>
    </row>
    <row r="166" spans="1:10" ht="23.1" customHeight="1" x14ac:dyDescent="0.15">
      <c r="B166" s="448"/>
      <c r="C166" s="1419" t="s">
        <v>856</v>
      </c>
      <c r="D166" s="1419"/>
      <c r="E166" s="1419"/>
      <c r="F166" s="431"/>
      <c r="G166" s="431"/>
      <c r="H166" s="853" t="str">
        <f>IF(I166=0,"RISPOSTA OBBLIGATORIA","")</f>
        <v>RISPOSTA OBBLIGATORIA</v>
      </c>
      <c r="I166" s="481">
        <v>0</v>
      </c>
      <c r="J166" s="480" t="str">
        <f>IF(I166=1,"VERO",IF(I166=2,"FALSO",""))</f>
        <v/>
      </c>
    </row>
    <row r="167" spans="1:10" ht="15" customHeight="1" x14ac:dyDescent="0.15">
      <c r="B167" s="448"/>
      <c r="C167" s="448"/>
      <c r="D167" s="448"/>
      <c r="E167" s="448"/>
      <c r="F167" s="448"/>
      <c r="G167" s="448"/>
      <c r="H167" s="841"/>
      <c r="I167" s="454"/>
    </row>
    <row r="168" spans="1:10" ht="15" customHeight="1" x14ac:dyDescent="0.15">
      <c r="A168" s="480"/>
      <c r="B168" s="480"/>
      <c r="C168" s="480"/>
      <c r="D168" s="480"/>
      <c r="E168" s="480"/>
      <c r="F168" s="455" t="s">
        <v>411</v>
      </c>
      <c r="G168" s="448"/>
      <c r="H168" s="841"/>
      <c r="I168" s="454"/>
    </row>
    <row r="169" spans="1:10" ht="35.85" customHeight="1" x14ac:dyDescent="0.15">
      <c r="A169" s="1297" t="s">
        <v>1005</v>
      </c>
      <c r="B169" s="1398" t="s">
        <v>1006</v>
      </c>
      <c r="C169" s="1398"/>
      <c r="D169" s="1398"/>
      <c r="E169" s="1415"/>
      <c r="F169" s="457">
        <v>0</v>
      </c>
      <c r="G169" s="448"/>
      <c r="H169" s="841"/>
      <c r="I169" s="301">
        <f>F169</f>
        <v>0</v>
      </c>
    </row>
    <row r="170" spans="1:10" ht="15" customHeight="1" x14ac:dyDescent="0.15">
      <c r="A170" s="556"/>
      <c r="B170" s="448"/>
      <c r="C170" s="448"/>
      <c r="D170" s="448"/>
      <c r="E170" s="448"/>
      <c r="F170" s="448"/>
      <c r="G170" s="448"/>
      <c r="H170" s="841"/>
      <c r="I170" s="454"/>
    </row>
    <row r="171" spans="1:10" ht="15" customHeight="1" x14ac:dyDescent="0.15">
      <c r="A171" s="1286"/>
      <c r="B171" s="480"/>
      <c r="C171" s="480"/>
      <c r="D171" s="480"/>
      <c r="E171" s="480"/>
      <c r="F171" s="455" t="s">
        <v>1007</v>
      </c>
      <c r="G171" s="455" t="s">
        <v>1008</v>
      </c>
      <c r="H171" s="841"/>
      <c r="I171" s="454"/>
    </row>
    <row r="172" spans="1:10" ht="36.6" customHeight="1" x14ac:dyDescent="0.15">
      <c r="A172" s="1297" t="s">
        <v>1009</v>
      </c>
      <c r="B172" s="1398" t="s">
        <v>1010</v>
      </c>
      <c r="C172" s="1398"/>
      <c r="D172" s="1398"/>
      <c r="E172" s="1398"/>
      <c r="F172" s="431"/>
      <c r="G172" s="431"/>
      <c r="H172" s="1298" t="str">
        <f>IF(I172=0,"RISPOSTA OBBLIGATORIA","")</f>
        <v>RISPOSTA OBBLIGATORIA</v>
      </c>
      <c r="I172" s="454">
        <v>0</v>
      </c>
      <c r="J172" s="480" t="str">
        <f>IF(I172=1,"VERO",IF(I172=2,"FALSO",""))</f>
        <v/>
      </c>
    </row>
    <row r="173" spans="1:10" ht="15" customHeight="1" x14ac:dyDescent="0.15">
      <c r="B173" s="448"/>
      <c r="C173" s="448"/>
      <c r="D173" s="448"/>
      <c r="E173" s="448"/>
      <c r="F173" s="448"/>
      <c r="G173" s="448"/>
      <c r="H173" s="841"/>
      <c r="I173" s="405"/>
    </row>
    <row r="174" spans="1:10" ht="27.75" customHeight="1" x14ac:dyDescent="0.15">
      <c r="A174" s="838" t="s">
        <v>1011</v>
      </c>
      <c r="B174" s="1398" t="s">
        <v>1012</v>
      </c>
      <c r="C174" s="1398"/>
      <c r="D174" s="1398"/>
      <c r="E174" s="1398"/>
      <c r="F174" s="480"/>
      <c r="G174" s="448"/>
      <c r="H174" s="841"/>
      <c r="I174" s="405"/>
    </row>
    <row r="175" spans="1:10" ht="15" customHeight="1" x14ac:dyDescent="0.15">
      <c r="B175" s="1216"/>
      <c r="C175" s="1216"/>
      <c r="D175" s="1216"/>
      <c r="E175" s="1216"/>
      <c r="F175" s="455" t="s">
        <v>411</v>
      </c>
      <c r="G175" s="448"/>
      <c r="H175" s="841"/>
      <c r="I175" s="405"/>
    </row>
    <row r="176" spans="1:10" ht="20.85" customHeight="1" x14ac:dyDescent="0.15">
      <c r="B176" s="480"/>
      <c r="C176" s="1419" t="s">
        <v>1013</v>
      </c>
      <c r="D176" s="1419"/>
      <c r="E176" s="1419"/>
      <c r="F176" s="457">
        <v>0</v>
      </c>
      <c r="G176" s="448"/>
      <c r="H176" s="841"/>
      <c r="I176" s="460">
        <f>F176</f>
        <v>0</v>
      </c>
    </row>
    <row r="177" spans="1:9" ht="20.85" customHeight="1" x14ac:dyDescent="0.15">
      <c r="B177" s="480"/>
      <c r="C177" s="1419" t="s">
        <v>1014</v>
      </c>
      <c r="D177" s="1419"/>
      <c r="E177" s="1419"/>
      <c r="F177" s="457">
        <v>0</v>
      </c>
      <c r="G177" s="448"/>
      <c r="H177" s="841"/>
      <c r="I177" s="460">
        <f>F177</f>
        <v>0</v>
      </c>
    </row>
    <row r="178" spans="1:9" ht="20.85" customHeight="1" x14ac:dyDescent="0.15">
      <c r="B178" s="480"/>
      <c r="C178" s="1419" t="s">
        <v>1015</v>
      </c>
      <c r="D178" s="1419"/>
      <c r="E178" s="1419"/>
      <c r="F178" s="457">
        <v>0</v>
      </c>
      <c r="G178" s="448"/>
      <c r="H178" s="841"/>
      <c r="I178" s="460">
        <f>F178</f>
        <v>0</v>
      </c>
    </row>
    <row r="179" spans="1:9" ht="15" customHeight="1" x14ac:dyDescent="0.15">
      <c r="B179" s="448"/>
      <c r="C179" s="448"/>
      <c r="D179" s="448"/>
      <c r="E179" s="448"/>
      <c r="F179" s="448"/>
      <c r="G179" s="448"/>
      <c r="H179" s="841"/>
      <c r="I179" s="405"/>
    </row>
    <row r="180" spans="1:9" ht="27.75" customHeight="1" x14ac:dyDescent="0.15">
      <c r="A180" s="838" t="s">
        <v>1016</v>
      </c>
      <c r="B180" s="1398" t="s">
        <v>1017</v>
      </c>
      <c r="C180" s="1398"/>
      <c r="D180" s="1398"/>
      <c r="E180" s="1398"/>
      <c r="F180" s="1398"/>
      <c r="G180" s="448"/>
      <c r="H180" s="841"/>
      <c r="I180" s="405"/>
    </row>
    <row r="181" spans="1:9" ht="15" customHeight="1" x14ac:dyDescent="0.15">
      <c r="B181" s="480"/>
      <c r="C181" s="480"/>
      <c r="D181" s="480"/>
      <c r="E181" s="448"/>
      <c r="F181" s="455" t="s">
        <v>411</v>
      </c>
      <c r="G181" s="448"/>
      <c r="H181" s="841"/>
      <c r="I181" s="405"/>
    </row>
    <row r="182" spans="1:9" ht="20.85" customHeight="1" x14ac:dyDescent="0.15">
      <c r="B182" s="480"/>
      <c r="C182" s="1419" t="s">
        <v>1018</v>
      </c>
      <c r="D182" s="1419"/>
      <c r="E182" s="1419"/>
      <c r="F182" s="457">
        <v>0</v>
      </c>
      <c r="G182" s="448"/>
      <c r="H182" s="841"/>
      <c r="I182" s="460">
        <f>F182</f>
        <v>0</v>
      </c>
    </row>
    <row r="183" spans="1:9" ht="20.85" customHeight="1" x14ac:dyDescent="0.15">
      <c r="B183" s="480"/>
      <c r="C183" s="1419" t="s">
        <v>1019</v>
      </c>
      <c r="D183" s="1419"/>
      <c r="E183" s="1419"/>
      <c r="F183" s="457">
        <v>0</v>
      </c>
      <c r="G183" s="448"/>
      <c r="H183" s="841"/>
      <c r="I183" s="460">
        <f>F183</f>
        <v>0</v>
      </c>
    </row>
    <row r="184" spans="1:9" ht="20.85" customHeight="1" x14ac:dyDescent="0.15">
      <c r="B184" s="448"/>
      <c r="C184" s="1419" t="s">
        <v>1020</v>
      </c>
      <c r="D184" s="1419"/>
      <c r="E184" s="1419"/>
      <c r="F184" s="457">
        <v>0</v>
      </c>
      <c r="G184" s="448"/>
      <c r="H184" s="841"/>
      <c r="I184" s="460">
        <f>F184</f>
        <v>0</v>
      </c>
    </row>
    <row r="185" spans="1:9" ht="15" customHeight="1" x14ac:dyDescent="0.15">
      <c r="B185" s="448"/>
      <c r="C185" s="480"/>
      <c r="D185" s="480"/>
      <c r="E185" s="480"/>
      <c r="F185" s="448"/>
      <c r="G185" s="448"/>
      <c r="H185" s="841"/>
      <c r="I185" s="405"/>
    </row>
    <row r="186" spans="1:9" ht="27.75" customHeight="1" x14ac:dyDescent="0.15">
      <c r="A186" s="838" t="s">
        <v>1021</v>
      </c>
      <c r="B186" s="1398" t="s">
        <v>1022</v>
      </c>
      <c r="C186" s="1398"/>
      <c r="D186" s="1398"/>
      <c r="E186" s="1398"/>
      <c r="F186" s="448"/>
      <c r="G186" s="448"/>
      <c r="H186" s="841"/>
      <c r="I186" s="405"/>
    </row>
    <row r="187" spans="1:9" ht="15" customHeight="1" x14ac:dyDescent="0.15">
      <c r="B187" s="480"/>
      <c r="C187" s="480"/>
      <c r="D187" s="480"/>
      <c r="E187" s="480"/>
      <c r="F187" s="455" t="s">
        <v>411</v>
      </c>
      <c r="G187" s="448"/>
      <c r="H187" s="841"/>
      <c r="I187" s="405"/>
    </row>
    <row r="188" spans="1:9" ht="20.85" customHeight="1" x14ac:dyDescent="0.15">
      <c r="B188" s="480"/>
      <c r="C188" s="1419" t="s">
        <v>1023</v>
      </c>
      <c r="D188" s="1419"/>
      <c r="E188" s="1419"/>
      <c r="F188" s="457">
        <v>0</v>
      </c>
      <c r="G188" s="448"/>
      <c r="H188" s="841"/>
      <c r="I188" s="460">
        <f>F188</f>
        <v>0</v>
      </c>
    </row>
    <row r="189" spans="1:9" ht="20.85" customHeight="1" x14ac:dyDescent="0.15">
      <c r="B189" s="480"/>
      <c r="C189" s="1419" t="s">
        <v>1024</v>
      </c>
      <c r="D189" s="1419"/>
      <c r="E189" s="1419"/>
      <c r="F189" s="457">
        <v>0</v>
      </c>
      <c r="G189" s="448"/>
      <c r="H189" s="841"/>
      <c r="I189" s="460">
        <f>F189</f>
        <v>0</v>
      </c>
    </row>
    <row r="190" spans="1:9" ht="20.85" customHeight="1" x14ac:dyDescent="0.15">
      <c r="B190" s="1420" t="s">
        <v>1025</v>
      </c>
      <c r="C190" s="1420"/>
      <c r="D190" s="1420"/>
      <c r="E190" s="480"/>
      <c r="F190" s="480"/>
      <c r="G190" s="480"/>
      <c r="H190" s="841"/>
      <c r="I190" s="420"/>
    </row>
    <row r="191" spans="1:9" ht="20.85" customHeight="1" x14ac:dyDescent="0.15">
      <c r="B191" s="480"/>
      <c r="C191" s="1419" t="s">
        <v>1026</v>
      </c>
      <c r="D191" s="1419"/>
      <c r="E191" s="1419"/>
      <c r="F191" s="457">
        <v>0</v>
      </c>
      <c r="G191" s="448"/>
      <c r="H191" s="1433" t="str">
        <f>IF(F191+F192+F193=F188+F189," ","ATTENZIONE!
Il totale delle persone indicate nelle domande 111, 112 e 113 DEVE essere uguale al totale delle persone indicate nelle domande 109 e 110")</f>
        <v xml:space="preserve"> </v>
      </c>
      <c r="I191" s="460">
        <f>F191</f>
        <v>0</v>
      </c>
    </row>
    <row r="192" spans="1:9" ht="20.85" customHeight="1" x14ac:dyDescent="0.15">
      <c r="B192" s="480"/>
      <c r="C192" s="1419" t="s">
        <v>1027</v>
      </c>
      <c r="D192" s="1419"/>
      <c r="E192" s="1419"/>
      <c r="F192" s="457">
        <v>0</v>
      </c>
      <c r="G192" s="448"/>
      <c r="H192" s="1433"/>
      <c r="I192" s="460">
        <f>F192</f>
        <v>0</v>
      </c>
    </row>
    <row r="193" spans="1:10" ht="20.85" customHeight="1" x14ac:dyDescent="0.15">
      <c r="B193" s="448"/>
      <c r="C193" s="1419" t="s">
        <v>1028</v>
      </c>
      <c r="D193" s="1419"/>
      <c r="E193" s="1419"/>
      <c r="F193" s="457">
        <v>0</v>
      </c>
      <c r="G193" s="448"/>
      <c r="H193" s="1433"/>
      <c r="I193" s="460">
        <f>F193</f>
        <v>0</v>
      </c>
    </row>
    <row r="194" spans="1:10" ht="15" customHeight="1" x14ac:dyDescent="0.15">
      <c r="B194" s="448"/>
      <c r="C194" s="448"/>
      <c r="D194" s="448"/>
      <c r="E194" s="448"/>
      <c r="F194" s="448"/>
      <c r="G194" s="448"/>
      <c r="H194" s="841"/>
      <c r="I194" s="405"/>
    </row>
    <row r="195" spans="1:10" ht="15" customHeight="1" x14ac:dyDescent="0.15">
      <c r="B195" s="448"/>
      <c r="C195" s="448"/>
      <c r="D195" s="448"/>
      <c r="E195" s="448"/>
      <c r="F195" s="455" t="s">
        <v>411</v>
      </c>
      <c r="G195" s="448"/>
      <c r="H195" s="841"/>
      <c r="I195" s="405"/>
    </row>
    <row r="196" spans="1:10" ht="44.85" customHeight="1" x14ac:dyDescent="0.15">
      <c r="A196" s="838" t="s">
        <v>1029</v>
      </c>
      <c r="B196" s="1398" t="s">
        <v>1030</v>
      </c>
      <c r="C196" s="1398"/>
      <c r="D196" s="1398"/>
      <c r="E196" s="1415"/>
      <c r="F196" s="457">
        <v>0</v>
      </c>
      <c r="G196" s="448"/>
      <c r="H196" s="1299" t="str">
        <f>IF(F196&gt;(F176+F177+F178),"ATTENZIONE!
Il numero delle persone indicate nella domanda DEVE essere minore od uguale alla totale delle persone indicate nelle domande 101, 102 e 103."," ")</f>
        <v xml:space="preserve"> </v>
      </c>
      <c r="I196" s="480">
        <f>F196</f>
        <v>0</v>
      </c>
    </row>
    <row r="197" spans="1:10" ht="15" customHeight="1" x14ac:dyDescent="0.15">
      <c r="B197" s="448"/>
      <c r="C197" s="448"/>
      <c r="D197" s="448"/>
      <c r="E197" s="448"/>
      <c r="F197" s="448"/>
      <c r="G197" s="448"/>
      <c r="H197" s="841"/>
      <c r="I197" s="420"/>
    </row>
    <row r="198" spans="1:10" ht="44.85" customHeight="1" x14ac:dyDescent="0.15">
      <c r="A198" s="838" t="s">
        <v>1031</v>
      </c>
      <c r="B198" s="1398" t="s">
        <v>1032</v>
      </c>
      <c r="C198" s="1398"/>
      <c r="D198" s="1398"/>
      <c r="E198" s="1398"/>
      <c r="F198" s="457">
        <v>0</v>
      </c>
      <c r="G198" s="448"/>
      <c r="H198" s="1299" t="str">
        <f>IF(F198&gt;(F188+F189),"ATTENZIONE!
Il numero delle persone indicate nella domanda DEVE essere minore od uguale alla totale delle persone indicate nelle domande 109 e 110."," ")</f>
        <v xml:space="preserve"> </v>
      </c>
      <c r="I198" s="480">
        <f>F198</f>
        <v>0</v>
      </c>
    </row>
    <row r="199" spans="1:10" ht="15" customHeight="1" x14ac:dyDescent="0.15">
      <c r="B199" s="448"/>
      <c r="C199" s="448"/>
      <c r="D199" s="448"/>
      <c r="E199" s="448"/>
      <c r="F199" s="448"/>
      <c r="G199" s="448"/>
      <c r="H199" s="841"/>
      <c r="I199" s="405"/>
    </row>
    <row r="200" spans="1:10" ht="15" customHeight="1" x14ac:dyDescent="0.15">
      <c r="B200" s="448"/>
      <c r="C200" s="448"/>
      <c r="D200" s="448"/>
      <c r="E200" s="448"/>
      <c r="F200" s="448"/>
      <c r="G200" s="448"/>
      <c r="H200" s="841"/>
      <c r="I200" s="405"/>
    </row>
    <row r="201" spans="1:10" s="1286" customFormat="1" ht="15" hidden="1" customHeight="1" x14ac:dyDescent="0.15">
      <c r="A201" s="556"/>
      <c r="B201" s="1421" t="s">
        <v>413</v>
      </c>
      <c r="C201" s="1422"/>
      <c r="D201" s="1423"/>
      <c r="E201" s="1287"/>
      <c r="F201" s="1426" t="str">
        <f>IF(E201:E250=0,"RISPOSTA OBBLIGATORIA","")</f>
        <v>RISPOSTA OBBLIGATORIA</v>
      </c>
      <c r="G201" s="1427"/>
      <c r="H201" s="1428"/>
      <c r="I201" s="855"/>
    </row>
    <row r="202" spans="1:10" s="1286" customFormat="1" ht="15" hidden="1" customHeight="1" x14ac:dyDescent="0.15">
      <c r="A202" s="556"/>
      <c r="B202" s="1422"/>
      <c r="C202" s="1422"/>
      <c r="D202" s="1423"/>
      <c r="E202" s="1300"/>
      <c r="F202" s="1429"/>
      <c r="G202" s="1430"/>
      <c r="H202" s="1431"/>
      <c r="I202" s="1301"/>
    </row>
    <row r="203" spans="1:10" s="1286" customFormat="1" ht="15" hidden="1" customHeight="1" x14ac:dyDescent="0.15">
      <c r="A203" s="1302"/>
      <c r="B203" s="1422"/>
      <c r="C203" s="1422"/>
      <c r="D203" s="1423"/>
      <c r="E203" s="1300"/>
      <c r="F203" s="1429"/>
      <c r="G203" s="1430"/>
      <c r="H203" s="1431"/>
      <c r="I203" s="1301"/>
    </row>
    <row r="204" spans="1:10" s="1286" customFormat="1" ht="15" hidden="1" customHeight="1" x14ac:dyDescent="0.15">
      <c r="A204" s="1302"/>
      <c r="B204" s="1422"/>
      <c r="C204" s="1422"/>
      <c r="D204" s="1423"/>
      <c r="E204" s="1300"/>
      <c r="F204" s="1429"/>
      <c r="G204" s="1430"/>
      <c r="H204" s="1431"/>
      <c r="I204" s="1301"/>
    </row>
    <row r="205" spans="1:10" s="1286" customFormat="1" ht="15" hidden="1" customHeight="1" x14ac:dyDescent="0.15">
      <c r="A205" s="1302"/>
      <c r="B205" s="1422"/>
      <c r="C205" s="1422"/>
      <c r="D205" s="1423"/>
      <c r="E205" s="1300"/>
      <c r="F205" s="1429"/>
      <c r="G205" s="1430"/>
      <c r="H205" s="1431"/>
      <c r="I205" s="1301"/>
    </row>
    <row r="206" spans="1:10" s="1286" customFormat="1" ht="15" hidden="1" customHeight="1" x14ac:dyDescent="0.15">
      <c r="A206" s="1302"/>
      <c r="B206" s="1422"/>
      <c r="C206" s="1422"/>
      <c r="D206" s="1423"/>
      <c r="E206" s="1300"/>
      <c r="F206" s="1429"/>
      <c r="G206" s="1430"/>
      <c r="H206" s="1431"/>
      <c r="I206" s="1301"/>
    </row>
    <row r="207" spans="1:10" s="1286" customFormat="1" ht="15" hidden="1" customHeight="1" x14ac:dyDescent="0.15">
      <c r="A207" s="1302"/>
      <c r="B207" s="1422"/>
      <c r="C207" s="1422"/>
      <c r="D207" s="1423"/>
      <c r="E207" s="1300"/>
      <c r="F207" s="1429"/>
      <c r="G207" s="1430"/>
      <c r="H207" s="1431"/>
      <c r="I207" s="1301"/>
    </row>
    <row r="208" spans="1:10" s="1304" customFormat="1" ht="15" hidden="1" customHeight="1" x14ac:dyDescent="0.15">
      <c r="A208" s="1302"/>
      <c r="B208" s="1422"/>
      <c r="C208" s="1422"/>
      <c r="D208" s="1423"/>
      <c r="E208" s="1300"/>
      <c r="F208" s="1429"/>
      <c r="G208" s="1430"/>
      <c r="H208" s="1431"/>
      <c r="I208" s="1303"/>
      <c r="J208" s="1286"/>
    </row>
    <row r="209" spans="1:9" s="1286" customFormat="1" ht="15" hidden="1" customHeight="1" x14ac:dyDescent="0.15">
      <c r="A209" s="1302"/>
      <c r="B209" s="1422"/>
      <c r="C209" s="1422"/>
      <c r="D209" s="1423"/>
      <c r="E209" s="1300"/>
      <c r="F209" s="1429"/>
      <c r="G209" s="1430"/>
      <c r="H209" s="1431"/>
      <c r="I209" s="1301"/>
    </row>
    <row r="210" spans="1:9" s="1286" customFormat="1" ht="15" hidden="1" customHeight="1" x14ac:dyDescent="0.15">
      <c r="A210" s="1302"/>
      <c r="B210" s="1422"/>
      <c r="C210" s="1422"/>
      <c r="D210" s="1423"/>
      <c r="E210" s="1300"/>
      <c r="F210" s="1429"/>
      <c r="G210" s="1430"/>
      <c r="H210" s="1431"/>
      <c r="I210" s="1301"/>
    </row>
    <row r="211" spans="1:9" s="1286" customFormat="1" ht="15" hidden="1" customHeight="1" x14ac:dyDescent="0.15">
      <c r="A211" s="556"/>
      <c r="B211" s="1424"/>
      <c r="C211" s="1424"/>
      <c r="D211" s="1425"/>
      <c r="E211" s="1300"/>
      <c r="F211" s="1432"/>
      <c r="G211" s="1424"/>
      <c r="H211" s="1425"/>
      <c r="I211" s="855"/>
    </row>
    <row r="212" spans="1:9" s="1286" customFormat="1" ht="15" hidden="1" customHeight="1" x14ac:dyDescent="0.15">
      <c r="A212" s="556"/>
      <c r="B212" s="1424"/>
      <c r="C212" s="1424"/>
      <c r="D212" s="1425"/>
      <c r="E212" s="1300"/>
      <c r="F212" s="1432"/>
      <c r="G212" s="1424"/>
      <c r="H212" s="1425"/>
      <c r="I212" s="855"/>
    </row>
    <row r="213" spans="1:9" s="1286" customFormat="1" ht="15" hidden="1" customHeight="1" x14ac:dyDescent="0.15">
      <c r="A213" s="556"/>
      <c r="B213" s="1424"/>
      <c r="C213" s="1424"/>
      <c r="D213" s="1425"/>
      <c r="E213" s="1300"/>
      <c r="F213" s="1432"/>
      <c r="G213" s="1424"/>
      <c r="H213" s="1425"/>
      <c r="I213" s="855"/>
    </row>
    <row r="214" spans="1:9" s="1286" customFormat="1" ht="15" hidden="1" customHeight="1" x14ac:dyDescent="0.15">
      <c r="A214" s="556"/>
      <c r="B214" s="1424"/>
      <c r="C214" s="1424"/>
      <c r="D214" s="1425"/>
      <c r="E214" s="1300"/>
      <c r="F214" s="1432"/>
      <c r="G214" s="1424"/>
      <c r="H214" s="1425"/>
      <c r="I214" s="855"/>
    </row>
    <row r="215" spans="1:9" s="1286" customFormat="1" ht="15" hidden="1" customHeight="1" x14ac:dyDescent="0.15">
      <c r="A215" s="556"/>
      <c r="B215" s="1424"/>
      <c r="C215" s="1424"/>
      <c r="D215" s="1425"/>
      <c r="E215" s="1300"/>
      <c r="F215" s="1432"/>
      <c r="G215" s="1424"/>
      <c r="H215" s="1425"/>
      <c r="I215" s="855"/>
    </row>
    <row r="216" spans="1:9" s="1286" customFormat="1" ht="15" hidden="1" customHeight="1" x14ac:dyDescent="0.15">
      <c r="A216" s="556"/>
      <c r="B216" s="1424"/>
      <c r="C216" s="1424"/>
      <c r="D216" s="1425"/>
      <c r="E216" s="1300"/>
      <c r="F216" s="1432"/>
      <c r="G216" s="1424"/>
      <c r="H216" s="1425"/>
      <c r="I216" s="855"/>
    </row>
    <row r="217" spans="1:9" s="1286" customFormat="1" ht="15" hidden="1" customHeight="1" x14ac:dyDescent="0.15">
      <c r="A217" s="556"/>
      <c r="B217" s="1424"/>
      <c r="C217" s="1424"/>
      <c r="D217" s="1425"/>
      <c r="E217" s="1300"/>
      <c r="F217" s="1432"/>
      <c r="G217" s="1424"/>
      <c r="H217" s="1425"/>
      <c r="I217" s="855"/>
    </row>
    <row r="218" spans="1:9" s="1286" customFormat="1" ht="15" hidden="1" customHeight="1" x14ac:dyDescent="0.15">
      <c r="A218" s="556"/>
      <c r="B218" s="1424"/>
      <c r="C218" s="1424"/>
      <c r="D218" s="1425"/>
      <c r="E218" s="1300"/>
      <c r="F218" s="1432"/>
      <c r="G218" s="1424"/>
      <c r="H218" s="1425"/>
      <c r="I218" s="855"/>
    </row>
    <row r="219" spans="1:9" s="1286" customFormat="1" ht="15" hidden="1" customHeight="1" x14ac:dyDescent="0.15">
      <c r="A219" s="556"/>
      <c r="B219" s="1424"/>
      <c r="C219" s="1424"/>
      <c r="D219" s="1425"/>
      <c r="E219" s="1300"/>
      <c r="F219" s="1432"/>
      <c r="G219" s="1424"/>
      <c r="H219" s="1425"/>
      <c r="I219" s="855"/>
    </row>
    <row r="220" spans="1:9" s="1286" customFormat="1" ht="15" hidden="1" customHeight="1" x14ac:dyDescent="0.15">
      <c r="A220" s="556"/>
      <c r="B220" s="1424"/>
      <c r="C220" s="1424"/>
      <c r="D220" s="1425"/>
      <c r="E220" s="1300"/>
      <c r="F220" s="1432"/>
      <c r="G220" s="1424"/>
      <c r="H220" s="1425"/>
      <c r="I220" s="855"/>
    </row>
    <row r="221" spans="1:9" s="1286" customFormat="1" ht="15" hidden="1" customHeight="1" x14ac:dyDescent="0.15">
      <c r="A221" s="556"/>
      <c r="B221" s="1424"/>
      <c r="C221" s="1424"/>
      <c r="D221" s="1425"/>
      <c r="E221" s="1300"/>
      <c r="F221" s="1432"/>
      <c r="G221" s="1424"/>
      <c r="H221" s="1425"/>
      <c r="I221" s="855"/>
    </row>
    <row r="222" spans="1:9" s="1286" customFormat="1" ht="15" hidden="1" customHeight="1" x14ac:dyDescent="0.15">
      <c r="A222" s="556"/>
      <c r="B222" s="1424"/>
      <c r="C222" s="1424"/>
      <c r="D222" s="1425"/>
      <c r="E222" s="1300"/>
      <c r="F222" s="1432"/>
      <c r="G222" s="1424"/>
      <c r="H222" s="1425"/>
      <c r="I222" s="855"/>
    </row>
    <row r="223" spans="1:9" s="1286" customFormat="1" ht="15" hidden="1" customHeight="1" x14ac:dyDescent="0.15">
      <c r="A223" s="556"/>
      <c r="B223" s="1424"/>
      <c r="C223" s="1424"/>
      <c r="D223" s="1425"/>
      <c r="E223" s="1300"/>
      <c r="F223" s="1432"/>
      <c r="G223" s="1424"/>
      <c r="H223" s="1425"/>
      <c r="I223" s="855"/>
    </row>
    <row r="224" spans="1:9" s="1286" customFormat="1" ht="15" hidden="1" customHeight="1" x14ac:dyDescent="0.15">
      <c r="A224" s="556"/>
      <c r="B224" s="1424"/>
      <c r="C224" s="1424"/>
      <c r="D224" s="1425"/>
      <c r="E224" s="1300"/>
      <c r="F224" s="1432"/>
      <c r="G224" s="1424"/>
      <c r="H224" s="1425"/>
      <c r="I224" s="855"/>
    </row>
    <row r="225" spans="1:9" s="1286" customFormat="1" ht="15" hidden="1" customHeight="1" x14ac:dyDescent="0.15">
      <c r="A225" s="556"/>
      <c r="B225" s="1424"/>
      <c r="C225" s="1424"/>
      <c r="D225" s="1425"/>
      <c r="E225" s="1300"/>
      <c r="F225" s="1432"/>
      <c r="G225" s="1424"/>
      <c r="H225" s="1425"/>
      <c r="I225" s="855"/>
    </row>
    <row r="226" spans="1:9" s="1286" customFormat="1" ht="15" hidden="1" customHeight="1" x14ac:dyDescent="0.15">
      <c r="A226" s="556"/>
      <c r="B226" s="1424"/>
      <c r="C226" s="1424"/>
      <c r="D226" s="1425"/>
      <c r="E226" s="1300"/>
      <c r="F226" s="1432"/>
      <c r="G226" s="1424"/>
      <c r="H226" s="1425"/>
      <c r="I226" s="855"/>
    </row>
    <row r="227" spans="1:9" s="1286" customFormat="1" ht="15" hidden="1" customHeight="1" x14ac:dyDescent="0.15">
      <c r="A227" s="556"/>
      <c r="B227" s="1424"/>
      <c r="C227" s="1424"/>
      <c r="D227" s="1425"/>
      <c r="E227" s="1300"/>
      <c r="F227" s="1432"/>
      <c r="G227" s="1424"/>
      <c r="H227" s="1425"/>
      <c r="I227" s="855"/>
    </row>
    <row r="228" spans="1:9" s="1286" customFormat="1" ht="15" hidden="1" customHeight="1" x14ac:dyDescent="0.15">
      <c r="A228" s="556"/>
      <c r="B228" s="1424"/>
      <c r="C228" s="1424"/>
      <c r="D228" s="1425"/>
      <c r="E228" s="1300"/>
      <c r="F228" s="1432"/>
      <c r="G228" s="1424"/>
      <c r="H228" s="1425"/>
      <c r="I228" s="855"/>
    </row>
    <row r="229" spans="1:9" s="1286" customFormat="1" ht="15" hidden="1" customHeight="1" x14ac:dyDescent="0.15">
      <c r="A229" s="556"/>
      <c r="B229" s="1424"/>
      <c r="C229" s="1424"/>
      <c r="D229" s="1425"/>
      <c r="E229" s="1300"/>
      <c r="F229" s="1432"/>
      <c r="G229" s="1424"/>
      <c r="H229" s="1425"/>
      <c r="I229" s="855"/>
    </row>
    <row r="230" spans="1:9" s="1286" customFormat="1" ht="15" hidden="1" customHeight="1" x14ac:dyDescent="0.15">
      <c r="A230" s="556"/>
      <c r="B230" s="1424"/>
      <c r="C230" s="1424"/>
      <c r="D230" s="1425"/>
      <c r="E230" s="1300"/>
      <c r="F230" s="1432"/>
      <c r="G230" s="1424"/>
      <c r="H230" s="1425"/>
      <c r="I230" s="855"/>
    </row>
    <row r="231" spans="1:9" s="1286" customFormat="1" ht="15" hidden="1" customHeight="1" x14ac:dyDescent="0.15">
      <c r="A231" s="556"/>
      <c r="B231" s="1424"/>
      <c r="C231" s="1424"/>
      <c r="D231" s="1425"/>
      <c r="E231" s="1300"/>
      <c r="F231" s="1432"/>
      <c r="G231" s="1424"/>
      <c r="H231" s="1425"/>
      <c r="I231" s="855"/>
    </row>
    <row r="232" spans="1:9" s="1286" customFormat="1" ht="15" hidden="1" customHeight="1" x14ac:dyDescent="0.15">
      <c r="A232" s="556"/>
      <c r="B232" s="1424"/>
      <c r="C232" s="1424"/>
      <c r="D232" s="1425"/>
      <c r="E232" s="1300"/>
      <c r="F232" s="1432"/>
      <c r="G232" s="1424"/>
      <c r="H232" s="1425"/>
      <c r="I232" s="855"/>
    </row>
    <row r="233" spans="1:9" s="1286" customFormat="1" ht="15" hidden="1" customHeight="1" x14ac:dyDescent="0.15">
      <c r="A233" s="556"/>
      <c r="B233" s="1424"/>
      <c r="C233" s="1424"/>
      <c r="D233" s="1425"/>
      <c r="E233" s="1300"/>
      <c r="F233" s="1432"/>
      <c r="G233" s="1424"/>
      <c r="H233" s="1425"/>
      <c r="I233" s="855"/>
    </row>
    <row r="234" spans="1:9" s="1286" customFormat="1" ht="15" hidden="1" customHeight="1" x14ac:dyDescent="0.15">
      <c r="A234" s="556"/>
      <c r="B234" s="1424"/>
      <c r="C234" s="1424"/>
      <c r="D234" s="1425"/>
      <c r="E234" s="1300"/>
      <c r="F234" s="1432"/>
      <c r="G234" s="1424"/>
      <c r="H234" s="1425"/>
      <c r="I234" s="855"/>
    </row>
    <row r="235" spans="1:9" s="1286" customFormat="1" ht="15" hidden="1" customHeight="1" x14ac:dyDescent="0.15">
      <c r="A235" s="556"/>
      <c r="B235" s="1424"/>
      <c r="C235" s="1424"/>
      <c r="D235" s="1425"/>
      <c r="E235" s="1300"/>
      <c r="F235" s="1432"/>
      <c r="G235" s="1424"/>
      <c r="H235" s="1425"/>
      <c r="I235" s="855"/>
    </row>
    <row r="236" spans="1:9" s="1286" customFormat="1" ht="15" hidden="1" customHeight="1" x14ac:dyDescent="0.15">
      <c r="A236" s="556"/>
      <c r="B236" s="1424"/>
      <c r="C236" s="1424"/>
      <c r="D236" s="1425"/>
      <c r="E236" s="1300"/>
      <c r="F236" s="1432"/>
      <c r="G236" s="1424"/>
      <c r="H236" s="1425"/>
      <c r="I236" s="855"/>
    </row>
    <row r="237" spans="1:9" s="1286" customFormat="1" ht="15" hidden="1" customHeight="1" x14ac:dyDescent="0.15">
      <c r="A237" s="556"/>
      <c r="B237" s="1424"/>
      <c r="C237" s="1424"/>
      <c r="D237" s="1425"/>
      <c r="E237" s="1300"/>
      <c r="F237" s="1432"/>
      <c r="G237" s="1424"/>
      <c r="H237" s="1425"/>
      <c r="I237" s="855"/>
    </row>
    <row r="238" spans="1:9" s="1286" customFormat="1" ht="15" hidden="1" customHeight="1" x14ac:dyDescent="0.15">
      <c r="A238" s="556"/>
      <c r="B238" s="1424"/>
      <c r="C238" s="1424"/>
      <c r="D238" s="1425"/>
      <c r="E238" s="1300"/>
      <c r="F238" s="1432"/>
      <c r="G238" s="1424"/>
      <c r="H238" s="1425"/>
      <c r="I238" s="855"/>
    </row>
    <row r="239" spans="1:9" s="1286" customFormat="1" ht="15" hidden="1" customHeight="1" x14ac:dyDescent="0.15">
      <c r="A239" s="556"/>
      <c r="B239" s="1424"/>
      <c r="C239" s="1424"/>
      <c r="D239" s="1425"/>
      <c r="E239" s="1300"/>
      <c r="F239" s="1432"/>
      <c r="G239" s="1424"/>
      <c r="H239" s="1425"/>
      <c r="I239" s="855"/>
    </row>
    <row r="240" spans="1:9" s="1286" customFormat="1" ht="15" hidden="1" customHeight="1" x14ac:dyDescent="0.15">
      <c r="A240" s="556"/>
      <c r="B240" s="1424"/>
      <c r="C240" s="1424"/>
      <c r="D240" s="1425"/>
      <c r="E240" s="1300"/>
      <c r="F240" s="1432"/>
      <c r="G240" s="1424"/>
      <c r="H240" s="1425"/>
      <c r="I240" s="855"/>
    </row>
    <row r="241" spans="1:14" s="1286" customFormat="1" ht="15" hidden="1" customHeight="1" x14ac:dyDescent="0.15">
      <c r="A241" s="556"/>
      <c r="B241" s="1424"/>
      <c r="C241" s="1424"/>
      <c r="D241" s="1425"/>
      <c r="E241" s="1300"/>
      <c r="F241" s="1432"/>
      <c r="G241" s="1424"/>
      <c r="H241" s="1425"/>
      <c r="I241" s="855"/>
    </row>
    <row r="242" spans="1:14" s="1286" customFormat="1" ht="15" hidden="1" customHeight="1" x14ac:dyDescent="0.15">
      <c r="A242" s="556"/>
      <c r="B242" s="1424"/>
      <c r="C242" s="1424"/>
      <c r="D242" s="1425"/>
      <c r="E242" s="1300"/>
      <c r="F242" s="1432"/>
      <c r="G242" s="1424"/>
      <c r="H242" s="1425"/>
      <c r="I242" s="855"/>
    </row>
    <row r="243" spans="1:14" s="1286" customFormat="1" ht="15" hidden="1" customHeight="1" x14ac:dyDescent="0.15">
      <c r="A243" s="556"/>
      <c r="B243" s="1424"/>
      <c r="C243" s="1424"/>
      <c r="D243" s="1425"/>
      <c r="E243" s="1300"/>
      <c r="F243" s="1432"/>
      <c r="G243" s="1424"/>
      <c r="H243" s="1425"/>
      <c r="I243" s="855"/>
    </row>
    <row r="244" spans="1:14" s="1286" customFormat="1" ht="15" hidden="1" customHeight="1" x14ac:dyDescent="0.15">
      <c r="A244" s="556"/>
      <c r="B244" s="1424"/>
      <c r="C244" s="1424"/>
      <c r="D244" s="1425"/>
      <c r="E244" s="1300"/>
      <c r="F244" s="1432"/>
      <c r="G244" s="1424"/>
      <c r="H244" s="1425"/>
      <c r="I244" s="855"/>
    </row>
    <row r="245" spans="1:14" s="1286" customFormat="1" ht="15" hidden="1" customHeight="1" x14ac:dyDescent="0.15">
      <c r="A245" s="556"/>
      <c r="B245" s="1424"/>
      <c r="C245" s="1424"/>
      <c r="D245" s="1425"/>
      <c r="E245" s="1300"/>
      <c r="F245" s="1432"/>
      <c r="G245" s="1424"/>
      <c r="H245" s="1425"/>
      <c r="I245" s="855"/>
    </row>
    <row r="246" spans="1:14" s="1286" customFormat="1" ht="15" hidden="1" customHeight="1" x14ac:dyDescent="0.15">
      <c r="A246" s="556"/>
      <c r="B246" s="1424"/>
      <c r="C246" s="1424"/>
      <c r="D246" s="1425"/>
      <c r="E246" s="1300"/>
      <c r="F246" s="1432"/>
      <c r="G246" s="1424"/>
      <c r="H246" s="1425"/>
      <c r="I246" s="855"/>
    </row>
    <row r="247" spans="1:14" s="1286" customFormat="1" ht="15" hidden="1" customHeight="1" x14ac:dyDescent="0.15">
      <c r="A247" s="556"/>
      <c r="B247" s="1424"/>
      <c r="C247" s="1424"/>
      <c r="D247" s="1425"/>
      <c r="E247" s="1300"/>
      <c r="F247" s="1432"/>
      <c r="G247" s="1424"/>
      <c r="H247" s="1425"/>
      <c r="I247" s="855"/>
    </row>
    <row r="248" spans="1:14" s="1286" customFormat="1" ht="15" hidden="1" customHeight="1" x14ac:dyDescent="0.15">
      <c r="A248" s="556"/>
      <c r="B248" s="1424"/>
      <c r="C248" s="1424"/>
      <c r="D248" s="1425"/>
      <c r="E248" s="1300"/>
      <c r="F248" s="1432"/>
      <c r="G248" s="1424"/>
      <c r="H248" s="1425"/>
      <c r="I248" s="855"/>
    </row>
    <row r="249" spans="1:14" s="1286" customFormat="1" ht="15" hidden="1" customHeight="1" x14ac:dyDescent="0.15">
      <c r="A249" s="556"/>
      <c r="B249" s="1424"/>
      <c r="C249" s="1424"/>
      <c r="D249" s="1425"/>
      <c r="E249" s="1300"/>
      <c r="F249" s="1432"/>
      <c r="G249" s="1424"/>
      <c r="H249" s="1425"/>
      <c r="I249" s="855"/>
    </row>
    <row r="250" spans="1:14" s="1286" customFormat="1" ht="15" hidden="1" customHeight="1" x14ac:dyDescent="0.15">
      <c r="A250" s="556"/>
      <c r="B250" s="1424"/>
      <c r="C250" s="1424"/>
      <c r="D250" s="1425"/>
      <c r="E250" s="1300"/>
      <c r="F250" s="1432"/>
      <c r="G250" s="1424"/>
      <c r="H250" s="1425"/>
      <c r="I250" s="855"/>
    </row>
    <row r="251" spans="1:14" ht="15" customHeight="1" x14ac:dyDescent="0.15">
      <c r="A251" s="515"/>
      <c r="B251" s="516"/>
      <c r="C251" s="516"/>
      <c r="D251" s="516"/>
      <c r="E251" s="516"/>
      <c r="F251" s="516"/>
      <c r="G251" s="516"/>
      <c r="H251" s="665"/>
      <c r="I251" s="480">
        <f>SUM(I6:I198)</f>
        <v>0</v>
      </c>
    </row>
    <row r="252" spans="1:14" ht="15.6" customHeight="1" x14ac:dyDescent="0.15">
      <c r="I252" s="569" t="str">
        <f>IF(OR(COUNTIF(J252:N252,"KO")&gt;0,F42="",F44="",F55="",F58="",F61=""),"KO","OK")</f>
        <v>KO</v>
      </c>
      <c r="J252" s="480" t="str">
        <f>IF(OR(I14=0,I18=0,I20=0,I25=0,I26=0,I32=0,I34=0,I47=0,I64=0),"KO","OK")</f>
        <v>KO</v>
      </c>
      <c r="K252" s="480" t="str">
        <f>IF(AND(I25=1,I26=0),"KO","OK")</f>
        <v>OK</v>
      </c>
      <c r="L252" s="480" t="str">
        <f>IF(I47=1,(IF(OR(I116=0,I119=0),"KO","OK")),"OK")</f>
        <v>OK</v>
      </c>
      <c r="M252" s="480" t="str">
        <f>IF(AND(I47=2,I122=0),"KO","OK")</f>
        <v>OK</v>
      </c>
      <c r="N252" s="480" t="str">
        <f>IF(I64=1,(IF(OR(F67&gt;0,F70&gt;0),"OK","KO")),"OK")</f>
        <v>OK</v>
      </c>
    </row>
    <row r="255" spans="1:14" x14ac:dyDescent="0.15">
      <c r="D255" s="1305"/>
    </row>
  </sheetData>
  <sheetProtection password="DD41" sheet="1" selectLockedCells="1"/>
  <mergeCells count="81">
    <mergeCell ref="B201:D250"/>
    <mergeCell ref="F201:H250"/>
    <mergeCell ref="C191:E191"/>
    <mergeCell ref="H191:H193"/>
    <mergeCell ref="C192:E192"/>
    <mergeCell ref="C193:E193"/>
    <mergeCell ref="B196:E196"/>
    <mergeCell ref="B198:E198"/>
    <mergeCell ref="B190:D190"/>
    <mergeCell ref="B174:E174"/>
    <mergeCell ref="C176:E176"/>
    <mergeCell ref="C177:E177"/>
    <mergeCell ref="C178:E178"/>
    <mergeCell ref="B180:F180"/>
    <mergeCell ref="C182:E182"/>
    <mergeCell ref="C183:E183"/>
    <mergeCell ref="C184:E184"/>
    <mergeCell ref="B186:E186"/>
    <mergeCell ref="C188:E188"/>
    <mergeCell ref="C189:E189"/>
    <mergeCell ref="B172:E172"/>
    <mergeCell ref="B136:E136"/>
    <mergeCell ref="C137:E137"/>
    <mergeCell ref="B149:E149"/>
    <mergeCell ref="C150:E150"/>
    <mergeCell ref="B161:E161"/>
    <mergeCell ref="C162:E162"/>
    <mergeCell ref="C163:E163"/>
    <mergeCell ref="C164:E164"/>
    <mergeCell ref="C165:E165"/>
    <mergeCell ref="C166:E166"/>
    <mergeCell ref="B169:E169"/>
    <mergeCell ref="B134:E134"/>
    <mergeCell ref="B110:E110"/>
    <mergeCell ref="G110:H110"/>
    <mergeCell ref="B113:E113"/>
    <mergeCell ref="G113:H113"/>
    <mergeCell ref="B116:E116"/>
    <mergeCell ref="B119:E119"/>
    <mergeCell ref="B122:E122"/>
    <mergeCell ref="B125:E125"/>
    <mergeCell ref="B128:E128"/>
    <mergeCell ref="G128:H128"/>
    <mergeCell ref="B131:E131"/>
    <mergeCell ref="G107:H107"/>
    <mergeCell ref="B64:E64"/>
    <mergeCell ref="C67:E67"/>
    <mergeCell ref="G67:H67"/>
    <mergeCell ref="C70:E70"/>
    <mergeCell ref="G70:H70"/>
    <mergeCell ref="B73:E73"/>
    <mergeCell ref="C76:E76"/>
    <mergeCell ref="C79:E79"/>
    <mergeCell ref="C81:D81"/>
    <mergeCell ref="C82:E82"/>
    <mergeCell ref="B107:E107"/>
    <mergeCell ref="G37:H37"/>
    <mergeCell ref="B61:E61"/>
    <mergeCell ref="G61:H61"/>
    <mergeCell ref="B42:E42"/>
    <mergeCell ref="G42:H42"/>
    <mergeCell ref="B44:E44"/>
    <mergeCell ref="G44:H44"/>
    <mergeCell ref="B47:E47"/>
    <mergeCell ref="C49:E49"/>
    <mergeCell ref="B52:E52"/>
    <mergeCell ref="B55:E55"/>
    <mergeCell ref="G55:H55"/>
    <mergeCell ref="B58:E58"/>
    <mergeCell ref="G58:H58"/>
    <mergeCell ref="B40:E40"/>
    <mergeCell ref="B14:E14"/>
    <mergeCell ref="B18:E18"/>
    <mergeCell ref="B20:E20"/>
    <mergeCell ref="B22:E22"/>
    <mergeCell ref="C25:E25"/>
    <mergeCell ref="C26:E26"/>
    <mergeCell ref="D27:E27"/>
    <mergeCell ref="B32:E32"/>
    <mergeCell ref="B34:E34"/>
    <mergeCell ref="B37:E37"/>
  </mergeCells>
  <dataValidations count="10">
    <dataValidation type="whole" allowBlank="1" showInputMessage="1" showErrorMessage="1" errorTitle="ATTENZIONE" error="INSERIRE UN VALORE NUMERICO INTERO" sqref="F76">
      <formula1>1</formula1>
      <formula2>100</formula2>
    </dataValidation>
    <dataValidation type="whole" allowBlank="1" showInputMessage="1" showErrorMessage="1" error="Inserire il codice dell'ente" sqref="F82">
      <formula1>100</formula1>
      <formula2>99999</formula2>
    </dataValidation>
    <dataValidation type="list" allowBlank="1" showInputMessage="1" showErrorMessage="1" sqref="F131">
      <mc:AlternateContent xmlns:x12ac="http://schemas.microsoft.com/office/spreadsheetml/2011/1/ac" xmlns:mc="http://schemas.openxmlformats.org/markup-compatibility/2006">
        <mc:Choice Requires="x12ac">
          <x12ac:list>_," Sì, esiste un apposito Ufficio/Servizio"," No, ma la funzione è esercitata da un altro ufficio", No</x12ac:list>
        </mc:Choice>
        <mc:Fallback>
          <formula1>"_, Sì, esiste un apposito Ufficio/Servizio, No, ma la funzione è esercitata da un altro ufficio, No"</formula1>
        </mc:Fallback>
      </mc:AlternateContent>
    </dataValidation>
    <dataValidation type="list" allowBlank="1" showInputMessage="1" showErrorMessage="1" sqref="F134">
      <mc:AlternateContent xmlns:x12ac="http://schemas.microsoft.com/office/spreadsheetml/2011/1/ac" xmlns:mc="http://schemas.openxmlformats.org/markup-compatibility/2006">
        <mc:Choice Requires="x12ac">
          <x12ac:list>_," Sì, annuale per l'anno di rilevazione"," Sì, pluriennale", No</x12ac:list>
        </mc:Choice>
        <mc:Fallback>
          <formula1>"_, Sì, annuale per l'anno di rilevazione, Sì, pluriennale, No"</formula1>
        </mc:Fallback>
      </mc:AlternateContent>
    </dataValidation>
    <dataValidation type="list" allowBlank="1" showInputMessage="1" showErrorMessage="1" sqref="F122">
      <formula1>"_, SI, No, Non Tenuto"</formula1>
    </dataValidation>
    <dataValidation type="whole" allowBlank="1" showInputMessage="1" showErrorMessage="1" errorTitle="ATTENZIONE" error="INSERIRE SOLO VALORI NUMERICI INTERI" sqref="F55 F67:F68 F64:F65 F61:F62 F44 F58 F42 F70 F107 F113 F110 F40 F47:F50 F52:F53 F151:F159 F128 F79 F77 F73:F74 F138:F147 F176:F178 F182:F184 F188:F189 F191:F193 F169 F196 F198">
      <formula1>0</formula1>
      <formula2>999999999999</formula2>
    </dataValidation>
    <dataValidation type="decimal" allowBlank="1" showInputMessage="1" showErrorMessage="1" errorTitle="ATTENZIONE" error="INSERIRE SOLO VALORI NUMERICI CON DUE DECIMALI" sqref="F37">
      <formula1>0.01</formula1>
      <formula2>100</formula2>
    </dataValidation>
    <dataValidation type="whole" allowBlank="1" showInputMessage="1" showErrorMessage="1" errorTitle="ATTENZIONE" error="INSERIRE UN VALORE NUMERICO INTERO" sqref="F8 F6">
      <formula1>0</formula1>
      <formula2>100</formula2>
    </dataValidation>
    <dataValidation type="whole" allowBlank="1" showInputMessage="1" showErrorMessage="1" errorTitle="ERRORE NEL DATO IMMESSO" error="INSERIRE SOLO NUMERI INTERI" sqref="E201:E250">
      <formula1>1</formula1>
      <formula2>99999</formula2>
    </dataValidation>
    <dataValidation type="list" allowBlank="1" showInputMessage="1" showErrorMessage="1" sqref="F18">
      <formula1>"_, Sì, No, Non sono stati esternalizzati servizi "</formula1>
    </dataValidation>
  </dataValidations>
  <printOptions horizontalCentered="1"/>
  <pageMargins left="0.23622047244094491" right="0.23622047244094491" top="0.59055118110236227" bottom="0.98425196850393704" header="0.51181102362204722" footer="0.51181102362204722"/>
  <pageSetup paperSize="9" scale="47" fitToWidth="2" fitToHeight="4"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95201" r:id="rId4" name="Group Box 1">
              <controlPr defaultSize="0" autoFill="0" autoPict="0">
                <anchor moveWithCells="1">
                  <from>
                    <xdr:col>5</xdr:col>
                    <xdr:colOff>0</xdr:colOff>
                    <xdr:row>19</xdr:row>
                    <xdr:rowOff>0</xdr:rowOff>
                  </from>
                  <to>
                    <xdr:col>6</xdr:col>
                    <xdr:colOff>1152525</xdr:colOff>
                    <xdr:row>20</xdr:row>
                    <xdr:rowOff>0</xdr:rowOff>
                  </to>
                </anchor>
              </controlPr>
            </control>
          </mc:Choice>
        </mc:AlternateContent>
        <mc:AlternateContent xmlns:mc="http://schemas.openxmlformats.org/markup-compatibility/2006">
          <mc:Choice Requires="x14">
            <control shapeId="2995202" r:id="rId5" name="Group Box 2">
              <controlPr defaultSize="0" autoFill="0" autoPict="0">
                <anchor moveWithCells="1">
                  <from>
                    <xdr:col>5</xdr:col>
                    <xdr:colOff>0</xdr:colOff>
                    <xdr:row>21</xdr:row>
                    <xdr:rowOff>0</xdr:rowOff>
                  </from>
                  <to>
                    <xdr:col>6</xdr:col>
                    <xdr:colOff>1152525</xdr:colOff>
                    <xdr:row>22</xdr:row>
                    <xdr:rowOff>0</xdr:rowOff>
                  </to>
                </anchor>
              </controlPr>
            </control>
          </mc:Choice>
        </mc:AlternateContent>
        <mc:AlternateContent xmlns:mc="http://schemas.openxmlformats.org/markup-compatibility/2006">
          <mc:Choice Requires="x14">
            <control shapeId="2995203" r:id="rId6" name="Option Button 3">
              <controlPr defaultSize="0" autoFill="0" autoLine="0" autoPict="0">
                <anchor moveWithCells="1">
                  <from>
                    <xdr:col>5</xdr:col>
                    <xdr:colOff>504825</xdr:colOff>
                    <xdr:row>19</xdr:row>
                    <xdr:rowOff>123825</xdr:rowOff>
                  </from>
                  <to>
                    <xdr:col>5</xdr:col>
                    <xdr:colOff>800100</xdr:colOff>
                    <xdr:row>19</xdr:row>
                    <xdr:rowOff>342900</xdr:rowOff>
                  </to>
                </anchor>
              </controlPr>
            </control>
          </mc:Choice>
        </mc:AlternateContent>
        <mc:AlternateContent xmlns:mc="http://schemas.openxmlformats.org/markup-compatibility/2006">
          <mc:Choice Requires="x14">
            <control shapeId="2995204" r:id="rId7" name="Option Button 4">
              <controlPr defaultSize="0" autoFill="0" autoLine="0" autoPict="0">
                <anchor moveWithCells="1">
                  <from>
                    <xdr:col>6</xdr:col>
                    <xdr:colOff>485775</xdr:colOff>
                    <xdr:row>19</xdr:row>
                    <xdr:rowOff>104775</xdr:rowOff>
                  </from>
                  <to>
                    <xdr:col>6</xdr:col>
                    <xdr:colOff>762000</xdr:colOff>
                    <xdr:row>19</xdr:row>
                    <xdr:rowOff>333375</xdr:rowOff>
                  </to>
                </anchor>
              </controlPr>
            </control>
          </mc:Choice>
        </mc:AlternateContent>
        <mc:AlternateContent xmlns:mc="http://schemas.openxmlformats.org/markup-compatibility/2006">
          <mc:Choice Requires="x14">
            <control shapeId="2995205" r:id="rId8" name="Option Button 5">
              <controlPr defaultSize="0" autoFill="0" autoLine="0" autoPict="0">
                <anchor moveWithCells="1">
                  <from>
                    <xdr:col>5</xdr:col>
                    <xdr:colOff>504825</xdr:colOff>
                    <xdr:row>21</xdr:row>
                    <xdr:rowOff>104775</xdr:rowOff>
                  </from>
                  <to>
                    <xdr:col>5</xdr:col>
                    <xdr:colOff>800100</xdr:colOff>
                    <xdr:row>21</xdr:row>
                    <xdr:rowOff>304800</xdr:rowOff>
                  </to>
                </anchor>
              </controlPr>
            </control>
          </mc:Choice>
        </mc:AlternateContent>
        <mc:AlternateContent xmlns:mc="http://schemas.openxmlformats.org/markup-compatibility/2006">
          <mc:Choice Requires="x14">
            <control shapeId="2995206" r:id="rId9" name="Option Button 6">
              <controlPr defaultSize="0" autoFill="0" autoLine="0" autoPict="0">
                <anchor moveWithCells="1">
                  <from>
                    <xdr:col>6</xdr:col>
                    <xdr:colOff>485775</xdr:colOff>
                    <xdr:row>21</xdr:row>
                    <xdr:rowOff>76200</xdr:rowOff>
                  </from>
                  <to>
                    <xdr:col>6</xdr:col>
                    <xdr:colOff>762000</xdr:colOff>
                    <xdr:row>21</xdr:row>
                    <xdr:rowOff>276225</xdr:rowOff>
                  </to>
                </anchor>
              </controlPr>
            </control>
          </mc:Choice>
        </mc:AlternateContent>
        <mc:AlternateContent xmlns:mc="http://schemas.openxmlformats.org/markup-compatibility/2006">
          <mc:Choice Requires="x14">
            <control shapeId="2995207" r:id="rId10" name="Group Box 7">
              <controlPr defaultSize="0" autoFill="0" autoPict="0">
                <anchor moveWithCells="1">
                  <from>
                    <xdr:col>5</xdr:col>
                    <xdr:colOff>0</xdr:colOff>
                    <xdr:row>24</xdr:row>
                    <xdr:rowOff>0</xdr:rowOff>
                  </from>
                  <to>
                    <xdr:col>6</xdr:col>
                    <xdr:colOff>1152525</xdr:colOff>
                    <xdr:row>25</xdr:row>
                    <xdr:rowOff>0</xdr:rowOff>
                  </to>
                </anchor>
              </controlPr>
            </control>
          </mc:Choice>
        </mc:AlternateContent>
        <mc:AlternateContent xmlns:mc="http://schemas.openxmlformats.org/markup-compatibility/2006">
          <mc:Choice Requires="x14">
            <control shapeId="2995208" r:id="rId11" name="Group Box 8">
              <controlPr defaultSize="0" autoFill="0" autoPict="0">
                <anchor moveWithCells="1">
                  <from>
                    <xdr:col>5</xdr:col>
                    <xdr:colOff>0</xdr:colOff>
                    <xdr:row>31</xdr:row>
                    <xdr:rowOff>0</xdr:rowOff>
                  </from>
                  <to>
                    <xdr:col>6</xdr:col>
                    <xdr:colOff>1152525</xdr:colOff>
                    <xdr:row>32</xdr:row>
                    <xdr:rowOff>0</xdr:rowOff>
                  </to>
                </anchor>
              </controlPr>
            </control>
          </mc:Choice>
        </mc:AlternateContent>
        <mc:AlternateContent xmlns:mc="http://schemas.openxmlformats.org/markup-compatibility/2006">
          <mc:Choice Requires="x14">
            <control shapeId="2995209" r:id="rId12" name="Option Button 9">
              <controlPr defaultSize="0" autoFill="0" autoLine="0" autoPict="0">
                <anchor moveWithCells="1">
                  <from>
                    <xdr:col>5</xdr:col>
                    <xdr:colOff>533400</xdr:colOff>
                    <xdr:row>24</xdr:row>
                    <xdr:rowOff>28575</xdr:rowOff>
                  </from>
                  <to>
                    <xdr:col>5</xdr:col>
                    <xdr:colOff>809625</xdr:colOff>
                    <xdr:row>24</xdr:row>
                    <xdr:rowOff>257175</xdr:rowOff>
                  </to>
                </anchor>
              </controlPr>
            </control>
          </mc:Choice>
        </mc:AlternateContent>
        <mc:AlternateContent xmlns:mc="http://schemas.openxmlformats.org/markup-compatibility/2006">
          <mc:Choice Requires="x14">
            <control shapeId="2995210" r:id="rId13" name="Option Button 10">
              <controlPr defaultSize="0" autoFill="0" autoLine="0" autoPict="0">
                <anchor moveWithCells="1">
                  <from>
                    <xdr:col>6</xdr:col>
                    <xdr:colOff>485775</xdr:colOff>
                    <xdr:row>24</xdr:row>
                    <xdr:rowOff>28575</xdr:rowOff>
                  </from>
                  <to>
                    <xdr:col>6</xdr:col>
                    <xdr:colOff>790575</xdr:colOff>
                    <xdr:row>24</xdr:row>
                    <xdr:rowOff>257175</xdr:rowOff>
                  </to>
                </anchor>
              </controlPr>
            </control>
          </mc:Choice>
        </mc:AlternateContent>
        <mc:AlternateContent xmlns:mc="http://schemas.openxmlformats.org/markup-compatibility/2006">
          <mc:Choice Requires="x14">
            <control shapeId="2995211" r:id="rId14" name="Group Box 11">
              <controlPr defaultSize="0" autoFill="0" autoPict="0">
                <anchor moveWithCells="1">
                  <from>
                    <xdr:col>5</xdr:col>
                    <xdr:colOff>0</xdr:colOff>
                    <xdr:row>13</xdr:row>
                    <xdr:rowOff>0</xdr:rowOff>
                  </from>
                  <to>
                    <xdr:col>6</xdr:col>
                    <xdr:colOff>1152525</xdr:colOff>
                    <xdr:row>14</xdr:row>
                    <xdr:rowOff>0</xdr:rowOff>
                  </to>
                </anchor>
              </controlPr>
            </control>
          </mc:Choice>
        </mc:AlternateContent>
        <mc:AlternateContent xmlns:mc="http://schemas.openxmlformats.org/markup-compatibility/2006">
          <mc:Choice Requires="x14">
            <control shapeId="2995212" r:id="rId15" name="Option Button 12">
              <controlPr defaultSize="0" autoFill="0" autoLine="0" autoPict="0">
                <anchor moveWithCells="1">
                  <from>
                    <xdr:col>5</xdr:col>
                    <xdr:colOff>504825</xdr:colOff>
                    <xdr:row>13</xdr:row>
                    <xdr:rowOff>76200</xdr:rowOff>
                  </from>
                  <to>
                    <xdr:col>5</xdr:col>
                    <xdr:colOff>800100</xdr:colOff>
                    <xdr:row>13</xdr:row>
                    <xdr:rowOff>314325</xdr:rowOff>
                  </to>
                </anchor>
              </controlPr>
            </control>
          </mc:Choice>
        </mc:AlternateContent>
        <mc:AlternateContent xmlns:mc="http://schemas.openxmlformats.org/markup-compatibility/2006">
          <mc:Choice Requires="x14">
            <control shapeId="2995213" r:id="rId16" name="Option Button 13">
              <controlPr defaultSize="0" autoFill="0" autoLine="0" autoPict="0">
                <anchor moveWithCells="1">
                  <from>
                    <xdr:col>6</xdr:col>
                    <xdr:colOff>428625</xdr:colOff>
                    <xdr:row>13</xdr:row>
                    <xdr:rowOff>104775</xdr:rowOff>
                  </from>
                  <to>
                    <xdr:col>6</xdr:col>
                    <xdr:colOff>714375</xdr:colOff>
                    <xdr:row>13</xdr:row>
                    <xdr:rowOff>333375</xdr:rowOff>
                  </to>
                </anchor>
              </controlPr>
            </control>
          </mc:Choice>
        </mc:AlternateContent>
        <mc:AlternateContent xmlns:mc="http://schemas.openxmlformats.org/markup-compatibility/2006">
          <mc:Choice Requires="x14">
            <control shapeId="2995214" r:id="rId17" name="Group Box 14">
              <controlPr defaultSize="0" autoFill="0" autoPict="0">
                <anchor moveWithCells="1">
                  <from>
                    <xdr:col>4</xdr:col>
                    <xdr:colOff>1190625</xdr:colOff>
                    <xdr:row>114</xdr:row>
                    <xdr:rowOff>190500</xdr:rowOff>
                  </from>
                  <to>
                    <xdr:col>7</xdr:col>
                    <xdr:colOff>9525</xdr:colOff>
                    <xdr:row>116</xdr:row>
                    <xdr:rowOff>0</xdr:rowOff>
                  </to>
                </anchor>
              </controlPr>
            </control>
          </mc:Choice>
        </mc:AlternateContent>
        <mc:AlternateContent xmlns:mc="http://schemas.openxmlformats.org/markup-compatibility/2006">
          <mc:Choice Requires="x14">
            <control shapeId="2995215" r:id="rId18" name="Option Button 15">
              <controlPr defaultSize="0" autoFill="0" autoLine="0" autoPict="0">
                <anchor moveWithCells="1">
                  <from>
                    <xdr:col>5</xdr:col>
                    <xdr:colOff>504825</xdr:colOff>
                    <xdr:row>115</xdr:row>
                    <xdr:rowOff>161925</xdr:rowOff>
                  </from>
                  <to>
                    <xdr:col>5</xdr:col>
                    <xdr:colOff>762000</xdr:colOff>
                    <xdr:row>116</xdr:row>
                    <xdr:rowOff>0</xdr:rowOff>
                  </to>
                </anchor>
              </controlPr>
            </control>
          </mc:Choice>
        </mc:AlternateContent>
        <mc:AlternateContent xmlns:mc="http://schemas.openxmlformats.org/markup-compatibility/2006">
          <mc:Choice Requires="x14">
            <control shapeId="2995216" r:id="rId19" name="Option Button 16">
              <controlPr defaultSize="0" autoFill="0" autoLine="0" autoPict="0">
                <anchor moveWithCells="1">
                  <from>
                    <xdr:col>6</xdr:col>
                    <xdr:colOff>485775</xdr:colOff>
                    <xdr:row>115</xdr:row>
                    <xdr:rowOff>142875</xdr:rowOff>
                  </from>
                  <to>
                    <xdr:col>6</xdr:col>
                    <xdr:colOff>828675</xdr:colOff>
                    <xdr:row>116</xdr:row>
                    <xdr:rowOff>0</xdr:rowOff>
                  </to>
                </anchor>
              </controlPr>
            </control>
          </mc:Choice>
        </mc:AlternateContent>
        <mc:AlternateContent xmlns:mc="http://schemas.openxmlformats.org/markup-compatibility/2006">
          <mc:Choice Requires="x14">
            <control shapeId="2995217" r:id="rId20" name="Group Box 17">
              <controlPr defaultSize="0" autoFill="0" autoPict="0">
                <anchor moveWithCells="1">
                  <from>
                    <xdr:col>5</xdr:col>
                    <xdr:colOff>0</xdr:colOff>
                    <xdr:row>118</xdr:row>
                    <xdr:rowOff>0</xdr:rowOff>
                  </from>
                  <to>
                    <xdr:col>7</xdr:col>
                    <xdr:colOff>0</xdr:colOff>
                    <xdr:row>119</xdr:row>
                    <xdr:rowOff>0</xdr:rowOff>
                  </to>
                </anchor>
              </controlPr>
            </control>
          </mc:Choice>
        </mc:AlternateContent>
        <mc:AlternateContent xmlns:mc="http://schemas.openxmlformats.org/markup-compatibility/2006">
          <mc:Choice Requires="x14">
            <control shapeId="2995218" r:id="rId21" name="Option Button 18">
              <controlPr defaultSize="0" autoFill="0" autoLine="0" autoPict="0">
                <anchor moveWithCells="1">
                  <from>
                    <xdr:col>5</xdr:col>
                    <xdr:colOff>504825</xdr:colOff>
                    <xdr:row>118</xdr:row>
                    <xdr:rowOff>85725</xdr:rowOff>
                  </from>
                  <to>
                    <xdr:col>5</xdr:col>
                    <xdr:colOff>800100</xdr:colOff>
                    <xdr:row>119</xdr:row>
                    <xdr:rowOff>0</xdr:rowOff>
                  </to>
                </anchor>
              </controlPr>
            </control>
          </mc:Choice>
        </mc:AlternateContent>
        <mc:AlternateContent xmlns:mc="http://schemas.openxmlformats.org/markup-compatibility/2006">
          <mc:Choice Requires="x14">
            <control shapeId="2995219" r:id="rId22" name="Option Button 19">
              <controlPr defaultSize="0" autoFill="0" autoLine="0" autoPict="0">
                <anchor moveWithCells="1">
                  <from>
                    <xdr:col>6</xdr:col>
                    <xdr:colOff>485775</xdr:colOff>
                    <xdr:row>118</xdr:row>
                    <xdr:rowOff>85725</xdr:rowOff>
                  </from>
                  <to>
                    <xdr:col>6</xdr:col>
                    <xdr:colOff>790575</xdr:colOff>
                    <xdr:row>119</xdr:row>
                    <xdr:rowOff>0</xdr:rowOff>
                  </to>
                </anchor>
              </controlPr>
            </control>
          </mc:Choice>
        </mc:AlternateContent>
        <mc:AlternateContent xmlns:mc="http://schemas.openxmlformats.org/markup-compatibility/2006">
          <mc:Choice Requires="x14">
            <control shapeId="2995220" r:id="rId23" name="Group Box 20">
              <controlPr defaultSize="0" autoFill="0" autoPict="0">
                <anchor moveWithCells="1">
                  <from>
                    <xdr:col>5</xdr:col>
                    <xdr:colOff>0</xdr:colOff>
                    <xdr:row>63</xdr:row>
                    <xdr:rowOff>0</xdr:rowOff>
                  </from>
                  <to>
                    <xdr:col>7</xdr:col>
                    <xdr:colOff>9525</xdr:colOff>
                    <xdr:row>64</xdr:row>
                    <xdr:rowOff>0</xdr:rowOff>
                  </to>
                </anchor>
              </controlPr>
            </control>
          </mc:Choice>
        </mc:AlternateContent>
        <mc:AlternateContent xmlns:mc="http://schemas.openxmlformats.org/markup-compatibility/2006">
          <mc:Choice Requires="x14">
            <control shapeId="2995221" r:id="rId24" name="Option Button 21">
              <controlPr defaultSize="0" autoFill="0" autoLine="0" autoPict="0">
                <anchor moveWithCells="1">
                  <from>
                    <xdr:col>5</xdr:col>
                    <xdr:colOff>533400</xdr:colOff>
                    <xdr:row>63</xdr:row>
                    <xdr:rowOff>28575</xdr:rowOff>
                  </from>
                  <to>
                    <xdr:col>5</xdr:col>
                    <xdr:colOff>828675</xdr:colOff>
                    <xdr:row>64</xdr:row>
                    <xdr:rowOff>0</xdr:rowOff>
                  </to>
                </anchor>
              </controlPr>
            </control>
          </mc:Choice>
        </mc:AlternateContent>
        <mc:AlternateContent xmlns:mc="http://schemas.openxmlformats.org/markup-compatibility/2006">
          <mc:Choice Requires="x14">
            <control shapeId="2995222" r:id="rId25" name="Option Button 22">
              <controlPr defaultSize="0" autoFill="0" autoLine="0" autoPict="0">
                <anchor moveWithCells="1">
                  <from>
                    <xdr:col>6</xdr:col>
                    <xdr:colOff>428625</xdr:colOff>
                    <xdr:row>63</xdr:row>
                    <xdr:rowOff>28575</xdr:rowOff>
                  </from>
                  <to>
                    <xdr:col>6</xdr:col>
                    <xdr:colOff>733425</xdr:colOff>
                    <xdr:row>64</xdr:row>
                    <xdr:rowOff>0</xdr:rowOff>
                  </to>
                </anchor>
              </controlPr>
            </control>
          </mc:Choice>
        </mc:AlternateContent>
        <mc:AlternateContent xmlns:mc="http://schemas.openxmlformats.org/markup-compatibility/2006">
          <mc:Choice Requires="x14">
            <control shapeId="2995223" r:id="rId26" name="Group Box 23">
              <controlPr defaultSize="0" autoFill="0" autoPict="0">
                <anchor moveWithCells="1">
                  <from>
                    <xdr:col>5</xdr:col>
                    <xdr:colOff>0</xdr:colOff>
                    <xdr:row>25</xdr:row>
                    <xdr:rowOff>0</xdr:rowOff>
                  </from>
                  <to>
                    <xdr:col>6</xdr:col>
                    <xdr:colOff>1152525</xdr:colOff>
                    <xdr:row>26</xdr:row>
                    <xdr:rowOff>0</xdr:rowOff>
                  </to>
                </anchor>
              </controlPr>
            </control>
          </mc:Choice>
        </mc:AlternateContent>
        <mc:AlternateContent xmlns:mc="http://schemas.openxmlformats.org/markup-compatibility/2006">
          <mc:Choice Requires="x14">
            <control shapeId="2995224" r:id="rId27" name="Option Button 24">
              <controlPr defaultSize="0" autoFill="0" autoLine="0" autoPict="0">
                <anchor moveWithCells="1">
                  <from>
                    <xdr:col>5</xdr:col>
                    <xdr:colOff>533400</xdr:colOff>
                    <xdr:row>25</xdr:row>
                    <xdr:rowOff>28575</xdr:rowOff>
                  </from>
                  <to>
                    <xdr:col>5</xdr:col>
                    <xdr:colOff>809625</xdr:colOff>
                    <xdr:row>25</xdr:row>
                    <xdr:rowOff>257175</xdr:rowOff>
                  </to>
                </anchor>
              </controlPr>
            </control>
          </mc:Choice>
        </mc:AlternateContent>
        <mc:AlternateContent xmlns:mc="http://schemas.openxmlformats.org/markup-compatibility/2006">
          <mc:Choice Requires="x14">
            <control shapeId="2995225" r:id="rId28" name="Option Button 25">
              <controlPr defaultSize="0" autoFill="0" autoLine="0" autoPict="0">
                <anchor moveWithCells="1">
                  <from>
                    <xdr:col>6</xdr:col>
                    <xdr:colOff>485775</xdr:colOff>
                    <xdr:row>25</xdr:row>
                    <xdr:rowOff>28575</xdr:rowOff>
                  </from>
                  <to>
                    <xdr:col>6</xdr:col>
                    <xdr:colOff>790575</xdr:colOff>
                    <xdr:row>25</xdr:row>
                    <xdr:rowOff>257175</xdr:rowOff>
                  </to>
                </anchor>
              </controlPr>
            </control>
          </mc:Choice>
        </mc:AlternateContent>
        <mc:AlternateContent xmlns:mc="http://schemas.openxmlformats.org/markup-compatibility/2006">
          <mc:Choice Requires="x14">
            <control shapeId="2995226" r:id="rId29" name="Group Box 26">
              <controlPr defaultSize="0" autoFill="0" autoPict="0">
                <anchor moveWithCells="1">
                  <from>
                    <xdr:col>5</xdr:col>
                    <xdr:colOff>9525</xdr:colOff>
                    <xdr:row>124</xdr:row>
                    <xdr:rowOff>0</xdr:rowOff>
                  </from>
                  <to>
                    <xdr:col>7</xdr:col>
                    <xdr:colOff>0</xdr:colOff>
                    <xdr:row>125</xdr:row>
                    <xdr:rowOff>0</xdr:rowOff>
                  </to>
                </anchor>
              </controlPr>
            </control>
          </mc:Choice>
        </mc:AlternateContent>
        <mc:AlternateContent xmlns:mc="http://schemas.openxmlformats.org/markup-compatibility/2006">
          <mc:Choice Requires="x14">
            <control shapeId="2995227" r:id="rId30" name="Option Button 27">
              <controlPr defaultSize="0" autoFill="0" autoLine="0" autoPict="0">
                <anchor moveWithCells="1">
                  <from>
                    <xdr:col>5</xdr:col>
                    <xdr:colOff>504825</xdr:colOff>
                    <xdr:row>124</xdr:row>
                    <xdr:rowOff>161925</xdr:rowOff>
                  </from>
                  <to>
                    <xdr:col>5</xdr:col>
                    <xdr:colOff>762000</xdr:colOff>
                    <xdr:row>125</xdr:row>
                    <xdr:rowOff>0</xdr:rowOff>
                  </to>
                </anchor>
              </controlPr>
            </control>
          </mc:Choice>
        </mc:AlternateContent>
        <mc:AlternateContent xmlns:mc="http://schemas.openxmlformats.org/markup-compatibility/2006">
          <mc:Choice Requires="x14">
            <control shapeId="2995228" r:id="rId31" name="Option Button 28">
              <controlPr defaultSize="0" autoFill="0" autoLine="0" autoPict="0">
                <anchor moveWithCells="1">
                  <from>
                    <xdr:col>6</xdr:col>
                    <xdr:colOff>485775</xdr:colOff>
                    <xdr:row>124</xdr:row>
                    <xdr:rowOff>142875</xdr:rowOff>
                  </from>
                  <to>
                    <xdr:col>6</xdr:col>
                    <xdr:colOff>828675</xdr:colOff>
                    <xdr:row>125</xdr:row>
                    <xdr:rowOff>0</xdr:rowOff>
                  </to>
                </anchor>
              </controlPr>
            </control>
          </mc:Choice>
        </mc:AlternateContent>
        <mc:AlternateContent xmlns:mc="http://schemas.openxmlformats.org/markup-compatibility/2006">
          <mc:Choice Requires="x14">
            <control shapeId="2995229" r:id="rId32" name="Group Box 29">
              <controlPr defaultSize="0" autoFill="0" autoPict="0">
                <anchor moveWithCells="1">
                  <from>
                    <xdr:col>5</xdr:col>
                    <xdr:colOff>0</xdr:colOff>
                    <xdr:row>46</xdr:row>
                    <xdr:rowOff>0</xdr:rowOff>
                  </from>
                  <to>
                    <xdr:col>6</xdr:col>
                    <xdr:colOff>1152525</xdr:colOff>
                    <xdr:row>47</xdr:row>
                    <xdr:rowOff>0</xdr:rowOff>
                  </to>
                </anchor>
              </controlPr>
            </control>
          </mc:Choice>
        </mc:AlternateContent>
        <mc:AlternateContent xmlns:mc="http://schemas.openxmlformats.org/markup-compatibility/2006">
          <mc:Choice Requires="x14">
            <control shapeId="2995230" r:id="rId33" name="Option Button 30">
              <controlPr defaultSize="0" autoFill="0" autoLine="0" autoPict="0">
                <anchor moveWithCells="1">
                  <from>
                    <xdr:col>5</xdr:col>
                    <xdr:colOff>533400</xdr:colOff>
                    <xdr:row>46</xdr:row>
                    <xdr:rowOff>9525</xdr:rowOff>
                  </from>
                  <to>
                    <xdr:col>5</xdr:col>
                    <xdr:colOff>828675</xdr:colOff>
                    <xdr:row>47</xdr:row>
                    <xdr:rowOff>0</xdr:rowOff>
                  </to>
                </anchor>
              </controlPr>
            </control>
          </mc:Choice>
        </mc:AlternateContent>
        <mc:AlternateContent xmlns:mc="http://schemas.openxmlformats.org/markup-compatibility/2006">
          <mc:Choice Requires="x14">
            <control shapeId="2995231" r:id="rId34" name="Option Button 31">
              <controlPr defaultSize="0" autoFill="0" autoLine="0" autoPict="0">
                <anchor moveWithCells="1">
                  <from>
                    <xdr:col>6</xdr:col>
                    <xdr:colOff>428625</xdr:colOff>
                    <xdr:row>46</xdr:row>
                    <xdr:rowOff>9525</xdr:rowOff>
                  </from>
                  <to>
                    <xdr:col>6</xdr:col>
                    <xdr:colOff>733425</xdr:colOff>
                    <xdr:row>47</xdr:row>
                    <xdr:rowOff>0</xdr:rowOff>
                  </to>
                </anchor>
              </controlPr>
            </control>
          </mc:Choice>
        </mc:AlternateContent>
        <mc:AlternateContent xmlns:mc="http://schemas.openxmlformats.org/markup-compatibility/2006">
          <mc:Choice Requires="x14">
            <control shapeId="2995232" r:id="rId35" name="Group Box 32">
              <controlPr defaultSize="0" autoFill="0" autoPict="0">
                <anchor moveWithCells="1">
                  <from>
                    <xdr:col>5</xdr:col>
                    <xdr:colOff>0</xdr:colOff>
                    <xdr:row>48</xdr:row>
                    <xdr:rowOff>0</xdr:rowOff>
                  </from>
                  <to>
                    <xdr:col>7</xdr:col>
                    <xdr:colOff>9525</xdr:colOff>
                    <xdr:row>49</xdr:row>
                    <xdr:rowOff>0</xdr:rowOff>
                  </to>
                </anchor>
              </controlPr>
            </control>
          </mc:Choice>
        </mc:AlternateContent>
        <mc:AlternateContent xmlns:mc="http://schemas.openxmlformats.org/markup-compatibility/2006">
          <mc:Choice Requires="x14">
            <control shapeId="2995233" r:id="rId36" name="Option Button 33">
              <controlPr defaultSize="0" autoFill="0" autoLine="0" autoPict="0">
                <anchor moveWithCells="1">
                  <from>
                    <xdr:col>5</xdr:col>
                    <xdr:colOff>542925</xdr:colOff>
                    <xdr:row>48</xdr:row>
                    <xdr:rowOff>142875</xdr:rowOff>
                  </from>
                  <to>
                    <xdr:col>5</xdr:col>
                    <xdr:colOff>828675</xdr:colOff>
                    <xdr:row>49</xdr:row>
                    <xdr:rowOff>0</xdr:rowOff>
                  </to>
                </anchor>
              </controlPr>
            </control>
          </mc:Choice>
        </mc:AlternateContent>
        <mc:AlternateContent xmlns:mc="http://schemas.openxmlformats.org/markup-compatibility/2006">
          <mc:Choice Requires="x14">
            <control shapeId="2995234" r:id="rId37" name="Option Button 34">
              <controlPr defaultSize="0" autoFill="0" autoLine="0" autoPict="0">
                <anchor moveWithCells="1">
                  <from>
                    <xdr:col>6</xdr:col>
                    <xdr:colOff>428625</xdr:colOff>
                    <xdr:row>48</xdr:row>
                    <xdr:rowOff>142875</xdr:rowOff>
                  </from>
                  <to>
                    <xdr:col>6</xdr:col>
                    <xdr:colOff>762000</xdr:colOff>
                    <xdr:row>49</xdr:row>
                    <xdr:rowOff>0</xdr:rowOff>
                  </to>
                </anchor>
              </controlPr>
            </control>
          </mc:Choice>
        </mc:AlternateContent>
        <mc:AlternateContent xmlns:mc="http://schemas.openxmlformats.org/markup-compatibility/2006">
          <mc:Choice Requires="x14">
            <control shapeId="2995235" r:id="rId38" name="Group Box 35">
              <controlPr defaultSize="0" autoFill="0" autoPict="0">
                <anchor moveWithCells="1">
                  <from>
                    <xdr:col>5</xdr:col>
                    <xdr:colOff>0</xdr:colOff>
                    <xdr:row>50</xdr:row>
                    <xdr:rowOff>257175</xdr:rowOff>
                  </from>
                  <to>
                    <xdr:col>7</xdr:col>
                    <xdr:colOff>0</xdr:colOff>
                    <xdr:row>61</xdr:row>
                    <xdr:rowOff>0</xdr:rowOff>
                  </to>
                </anchor>
              </controlPr>
            </control>
          </mc:Choice>
        </mc:AlternateContent>
        <mc:AlternateContent xmlns:mc="http://schemas.openxmlformats.org/markup-compatibility/2006">
          <mc:Choice Requires="x14">
            <control shapeId="2995236" r:id="rId39" name="Option Button 36">
              <controlPr defaultSize="0" autoFill="0" autoLine="0" autoPict="0">
                <anchor moveWithCells="1">
                  <from>
                    <xdr:col>5</xdr:col>
                    <xdr:colOff>533400</xdr:colOff>
                    <xdr:row>51</xdr:row>
                    <xdr:rowOff>28575</xdr:rowOff>
                  </from>
                  <to>
                    <xdr:col>5</xdr:col>
                    <xdr:colOff>809625</xdr:colOff>
                    <xdr:row>51</xdr:row>
                    <xdr:rowOff>257175</xdr:rowOff>
                  </to>
                </anchor>
              </controlPr>
            </control>
          </mc:Choice>
        </mc:AlternateContent>
        <mc:AlternateContent xmlns:mc="http://schemas.openxmlformats.org/markup-compatibility/2006">
          <mc:Choice Requires="x14">
            <control shapeId="2995237" r:id="rId40" name="Option Button 37">
              <controlPr defaultSize="0" autoFill="0" autoLine="0" autoPict="0">
                <anchor moveWithCells="1">
                  <from>
                    <xdr:col>6</xdr:col>
                    <xdr:colOff>428625</xdr:colOff>
                    <xdr:row>51</xdr:row>
                    <xdr:rowOff>28575</xdr:rowOff>
                  </from>
                  <to>
                    <xdr:col>6</xdr:col>
                    <xdr:colOff>714375</xdr:colOff>
                    <xdr:row>51</xdr:row>
                    <xdr:rowOff>295275</xdr:rowOff>
                  </to>
                </anchor>
              </controlPr>
            </control>
          </mc:Choice>
        </mc:AlternateContent>
        <mc:AlternateContent xmlns:mc="http://schemas.openxmlformats.org/markup-compatibility/2006">
          <mc:Choice Requires="x14">
            <control shapeId="2995238" r:id="rId41" name="Group Box 38">
              <controlPr defaultSize="0" autoFill="0" autoPict="0">
                <anchor moveWithCells="1">
                  <from>
                    <xdr:col>5</xdr:col>
                    <xdr:colOff>0</xdr:colOff>
                    <xdr:row>161</xdr:row>
                    <xdr:rowOff>0</xdr:rowOff>
                  </from>
                  <to>
                    <xdr:col>7</xdr:col>
                    <xdr:colOff>0</xdr:colOff>
                    <xdr:row>162</xdr:row>
                    <xdr:rowOff>9525</xdr:rowOff>
                  </to>
                </anchor>
              </controlPr>
            </control>
          </mc:Choice>
        </mc:AlternateContent>
        <mc:AlternateContent xmlns:mc="http://schemas.openxmlformats.org/markup-compatibility/2006">
          <mc:Choice Requires="x14">
            <control shapeId="2995239" r:id="rId42" name="Option Button 39">
              <controlPr defaultSize="0" autoFill="0" autoLine="0" autoPict="0">
                <anchor moveWithCells="1">
                  <from>
                    <xdr:col>5</xdr:col>
                    <xdr:colOff>504825</xdr:colOff>
                    <xdr:row>161</xdr:row>
                    <xdr:rowOff>9525</xdr:rowOff>
                  </from>
                  <to>
                    <xdr:col>5</xdr:col>
                    <xdr:colOff>762000</xdr:colOff>
                    <xdr:row>162</xdr:row>
                    <xdr:rowOff>0</xdr:rowOff>
                  </to>
                </anchor>
              </controlPr>
            </control>
          </mc:Choice>
        </mc:AlternateContent>
        <mc:AlternateContent xmlns:mc="http://schemas.openxmlformats.org/markup-compatibility/2006">
          <mc:Choice Requires="x14">
            <control shapeId="2995240" r:id="rId43" name="Option Button 40">
              <controlPr defaultSize="0" autoFill="0" autoLine="0" autoPict="0">
                <anchor moveWithCells="1">
                  <from>
                    <xdr:col>6</xdr:col>
                    <xdr:colOff>428625</xdr:colOff>
                    <xdr:row>161</xdr:row>
                    <xdr:rowOff>9525</xdr:rowOff>
                  </from>
                  <to>
                    <xdr:col>6</xdr:col>
                    <xdr:colOff>723900</xdr:colOff>
                    <xdr:row>162</xdr:row>
                    <xdr:rowOff>0</xdr:rowOff>
                  </to>
                </anchor>
              </controlPr>
            </control>
          </mc:Choice>
        </mc:AlternateContent>
        <mc:AlternateContent xmlns:mc="http://schemas.openxmlformats.org/markup-compatibility/2006">
          <mc:Choice Requires="x14">
            <control shapeId="2995241" r:id="rId44" name="Group Box 41">
              <controlPr defaultSize="0" autoFill="0" autoPict="0">
                <anchor moveWithCells="1">
                  <from>
                    <xdr:col>5</xdr:col>
                    <xdr:colOff>0</xdr:colOff>
                    <xdr:row>162</xdr:row>
                    <xdr:rowOff>0</xdr:rowOff>
                  </from>
                  <to>
                    <xdr:col>7</xdr:col>
                    <xdr:colOff>0</xdr:colOff>
                    <xdr:row>163</xdr:row>
                    <xdr:rowOff>0</xdr:rowOff>
                  </to>
                </anchor>
              </controlPr>
            </control>
          </mc:Choice>
        </mc:AlternateContent>
        <mc:AlternateContent xmlns:mc="http://schemas.openxmlformats.org/markup-compatibility/2006">
          <mc:Choice Requires="x14">
            <control shapeId="2995242" r:id="rId45" name="Option Button 42">
              <controlPr defaultSize="0" autoFill="0" autoLine="0" autoPict="0">
                <anchor moveWithCells="1">
                  <from>
                    <xdr:col>5</xdr:col>
                    <xdr:colOff>504825</xdr:colOff>
                    <xdr:row>162</xdr:row>
                    <xdr:rowOff>9525</xdr:rowOff>
                  </from>
                  <to>
                    <xdr:col>5</xdr:col>
                    <xdr:colOff>762000</xdr:colOff>
                    <xdr:row>163</xdr:row>
                    <xdr:rowOff>0</xdr:rowOff>
                  </to>
                </anchor>
              </controlPr>
            </control>
          </mc:Choice>
        </mc:AlternateContent>
        <mc:AlternateContent xmlns:mc="http://schemas.openxmlformats.org/markup-compatibility/2006">
          <mc:Choice Requires="x14">
            <control shapeId="2995243" r:id="rId46" name="Option Button 43">
              <controlPr defaultSize="0" autoFill="0" autoLine="0" autoPict="0">
                <anchor moveWithCells="1">
                  <from>
                    <xdr:col>6</xdr:col>
                    <xdr:colOff>428625</xdr:colOff>
                    <xdr:row>162</xdr:row>
                    <xdr:rowOff>9525</xdr:rowOff>
                  </from>
                  <to>
                    <xdr:col>6</xdr:col>
                    <xdr:colOff>723900</xdr:colOff>
                    <xdr:row>163</xdr:row>
                    <xdr:rowOff>0</xdr:rowOff>
                  </to>
                </anchor>
              </controlPr>
            </control>
          </mc:Choice>
        </mc:AlternateContent>
        <mc:AlternateContent xmlns:mc="http://schemas.openxmlformats.org/markup-compatibility/2006">
          <mc:Choice Requires="x14">
            <control shapeId="2995244" r:id="rId47" name="Group Box 44">
              <controlPr defaultSize="0" autoFill="0" autoPict="0">
                <anchor moveWithCells="1">
                  <from>
                    <xdr:col>5</xdr:col>
                    <xdr:colOff>0</xdr:colOff>
                    <xdr:row>163</xdr:row>
                    <xdr:rowOff>0</xdr:rowOff>
                  </from>
                  <to>
                    <xdr:col>7</xdr:col>
                    <xdr:colOff>0</xdr:colOff>
                    <xdr:row>164</xdr:row>
                    <xdr:rowOff>9525</xdr:rowOff>
                  </to>
                </anchor>
              </controlPr>
            </control>
          </mc:Choice>
        </mc:AlternateContent>
        <mc:AlternateContent xmlns:mc="http://schemas.openxmlformats.org/markup-compatibility/2006">
          <mc:Choice Requires="x14">
            <control shapeId="2995245" r:id="rId48" name="Option Button 45">
              <controlPr defaultSize="0" autoFill="0" autoLine="0" autoPict="0">
                <anchor moveWithCells="1">
                  <from>
                    <xdr:col>5</xdr:col>
                    <xdr:colOff>504825</xdr:colOff>
                    <xdr:row>163</xdr:row>
                    <xdr:rowOff>9525</xdr:rowOff>
                  </from>
                  <to>
                    <xdr:col>5</xdr:col>
                    <xdr:colOff>762000</xdr:colOff>
                    <xdr:row>164</xdr:row>
                    <xdr:rowOff>0</xdr:rowOff>
                  </to>
                </anchor>
              </controlPr>
            </control>
          </mc:Choice>
        </mc:AlternateContent>
        <mc:AlternateContent xmlns:mc="http://schemas.openxmlformats.org/markup-compatibility/2006">
          <mc:Choice Requires="x14">
            <control shapeId="2995246" r:id="rId49" name="Option Button 46">
              <controlPr defaultSize="0" autoFill="0" autoLine="0" autoPict="0">
                <anchor moveWithCells="1">
                  <from>
                    <xdr:col>6</xdr:col>
                    <xdr:colOff>428625</xdr:colOff>
                    <xdr:row>163</xdr:row>
                    <xdr:rowOff>9525</xdr:rowOff>
                  </from>
                  <to>
                    <xdr:col>6</xdr:col>
                    <xdr:colOff>723900</xdr:colOff>
                    <xdr:row>164</xdr:row>
                    <xdr:rowOff>0</xdr:rowOff>
                  </to>
                </anchor>
              </controlPr>
            </control>
          </mc:Choice>
        </mc:AlternateContent>
        <mc:AlternateContent xmlns:mc="http://schemas.openxmlformats.org/markup-compatibility/2006">
          <mc:Choice Requires="x14">
            <control shapeId="2995247" r:id="rId50" name="Group Box 47">
              <controlPr defaultSize="0" autoFill="0" autoPict="0">
                <anchor moveWithCells="1">
                  <from>
                    <xdr:col>5</xdr:col>
                    <xdr:colOff>0</xdr:colOff>
                    <xdr:row>164</xdr:row>
                    <xdr:rowOff>0</xdr:rowOff>
                  </from>
                  <to>
                    <xdr:col>7</xdr:col>
                    <xdr:colOff>0</xdr:colOff>
                    <xdr:row>165</xdr:row>
                    <xdr:rowOff>9525</xdr:rowOff>
                  </to>
                </anchor>
              </controlPr>
            </control>
          </mc:Choice>
        </mc:AlternateContent>
        <mc:AlternateContent xmlns:mc="http://schemas.openxmlformats.org/markup-compatibility/2006">
          <mc:Choice Requires="x14">
            <control shapeId="2995248" r:id="rId51" name="Option Button 48">
              <controlPr defaultSize="0" autoFill="0" autoLine="0" autoPict="0">
                <anchor moveWithCells="1">
                  <from>
                    <xdr:col>5</xdr:col>
                    <xdr:colOff>504825</xdr:colOff>
                    <xdr:row>164</xdr:row>
                    <xdr:rowOff>9525</xdr:rowOff>
                  </from>
                  <to>
                    <xdr:col>5</xdr:col>
                    <xdr:colOff>762000</xdr:colOff>
                    <xdr:row>165</xdr:row>
                    <xdr:rowOff>0</xdr:rowOff>
                  </to>
                </anchor>
              </controlPr>
            </control>
          </mc:Choice>
        </mc:AlternateContent>
        <mc:AlternateContent xmlns:mc="http://schemas.openxmlformats.org/markup-compatibility/2006">
          <mc:Choice Requires="x14">
            <control shapeId="2995249" r:id="rId52" name="Option Button 49">
              <controlPr defaultSize="0" autoFill="0" autoLine="0" autoPict="0">
                <anchor moveWithCells="1">
                  <from>
                    <xdr:col>6</xdr:col>
                    <xdr:colOff>428625</xdr:colOff>
                    <xdr:row>164</xdr:row>
                    <xdr:rowOff>9525</xdr:rowOff>
                  </from>
                  <to>
                    <xdr:col>6</xdr:col>
                    <xdr:colOff>723900</xdr:colOff>
                    <xdr:row>165</xdr:row>
                    <xdr:rowOff>0</xdr:rowOff>
                  </to>
                </anchor>
              </controlPr>
            </control>
          </mc:Choice>
        </mc:AlternateContent>
        <mc:AlternateContent xmlns:mc="http://schemas.openxmlformats.org/markup-compatibility/2006">
          <mc:Choice Requires="x14">
            <control shapeId="2995250" r:id="rId53" name="Option Button 50">
              <controlPr defaultSize="0" autoFill="0" autoLine="0" autoPict="0">
                <anchor moveWithCells="1">
                  <from>
                    <xdr:col>5</xdr:col>
                    <xdr:colOff>504825</xdr:colOff>
                    <xdr:row>165</xdr:row>
                    <xdr:rowOff>9525</xdr:rowOff>
                  </from>
                  <to>
                    <xdr:col>5</xdr:col>
                    <xdr:colOff>752475</xdr:colOff>
                    <xdr:row>165</xdr:row>
                    <xdr:rowOff>266700</xdr:rowOff>
                  </to>
                </anchor>
              </controlPr>
            </control>
          </mc:Choice>
        </mc:AlternateContent>
        <mc:AlternateContent xmlns:mc="http://schemas.openxmlformats.org/markup-compatibility/2006">
          <mc:Choice Requires="x14">
            <control shapeId="2995251" r:id="rId54" name="Option Button 51">
              <controlPr defaultSize="0" autoFill="0" autoLine="0" autoPict="0">
                <anchor moveWithCells="1">
                  <from>
                    <xdr:col>6</xdr:col>
                    <xdr:colOff>428625</xdr:colOff>
                    <xdr:row>165</xdr:row>
                    <xdr:rowOff>9525</xdr:rowOff>
                  </from>
                  <to>
                    <xdr:col>6</xdr:col>
                    <xdr:colOff>714375</xdr:colOff>
                    <xdr:row>165</xdr:row>
                    <xdr:rowOff>266700</xdr:rowOff>
                  </to>
                </anchor>
              </controlPr>
            </control>
          </mc:Choice>
        </mc:AlternateContent>
        <mc:AlternateContent xmlns:mc="http://schemas.openxmlformats.org/markup-compatibility/2006">
          <mc:Choice Requires="x14">
            <control shapeId="2995252" r:id="rId55" name="Group Box 52">
              <controlPr defaultSize="0" autoFill="0" autoPict="0">
                <anchor moveWithCells="1">
                  <from>
                    <xdr:col>5</xdr:col>
                    <xdr:colOff>0</xdr:colOff>
                    <xdr:row>72</xdr:row>
                    <xdr:rowOff>0</xdr:rowOff>
                  </from>
                  <to>
                    <xdr:col>7</xdr:col>
                    <xdr:colOff>9525</xdr:colOff>
                    <xdr:row>73</xdr:row>
                    <xdr:rowOff>0</xdr:rowOff>
                  </to>
                </anchor>
              </controlPr>
            </control>
          </mc:Choice>
        </mc:AlternateContent>
        <mc:AlternateContent xmlns:mc="http://schemas.openxmlformats.org/markup-compatibility/2006">
          <mc:Choice Requires="x14">
            <control shapeId="2995253" r:id="rId56" name="Option Button 53">
              <controlPr defaultSize="0" autoFill="0" autoLine="0" autoPict="0">
                <anchor moveWithCells="1">
                  <from>
                    <xdr:col>5</xdr:col>
                    <xdr:colOff>533400</xdr:colOff>
                    <xdr:row>72</xdr:row>
                    <xdr:rowOff>9525</xdr:rowOff>
                  </from>
                  <to>
                    <xdr:col>5</xdr:col>
                    <xdr:colOff>809625</xdr:colOff>
                    <xdr:row>72</xdr:row>
                    <xdr:rowOff>238125</xdr:rowOff>
                  </to>
                </anchor>
              </controlPr>
            </control>
          </mc:Choice>
        </mc:AlternateContent>
        <mc:AlternateContent xmlns:mc="http://schemas.openxmlformats.org/markup-compatibility/2006">
          <mc:Choice Requires="x14">
            <control shapeId="2995254" r:id="rId57" name="Option Button 54">
              <controlPr defaultSize="0" autoFill="0" autoLine="0" autoPict="0">
                <anchor moveWithCells="1">
                  <from>
                    <xdr:col>6</xdr:col>
                    <xdr:colOff>428625</xdr:colOff>
                    <xdr:row>72</xdr:row>
                    <xdr:rowOff>9525</xdr:rowOff>
                  </from>
                  <to>
                    <xdr:col>6</xdr:col>
                    <xdr:colOff>714375</xdr:colOff>
                    <xdr:row>72</xdr:row>
                    <xdr:rowOff>238125</xdr:rowOff>
                  </to>
                </anchor>
              </controlPr>
            </control>
          </mc:Choice>
        </mc:AlternateContent>
        <mc:AlternateContent xmlns:mc="http://schemas.openxmlformats.org/markup-compatibility/2006">
          <mc:Choice Requires="x14">
            <control shapeId="2995255" r:id="rId58" name="Group Box 55">
              <controlPr defaultSize="0" autoFill="0" autoPict="0">
                <anchor moveWithCells="1">
                  <from>
                    <xdr:col>5</xdr:col>
                    <xdr:colOff>0</xdr:colOff>
                    <xdr:row>78</xdr:row>
                    <xdr:rowOff>0</xdr:rowOff>
                  </from>
                  <to>
                    <xdr:col>7</xdr:col>
                    <xdr:colOff>0</xdr:colOff>
                    <xdr:row>79</xdr:row>
                    <xdr:rowOff>0</xdr:rowOff>
                  </to>
                </anchor>
              </controlPr>
            </control>
          </mc:Choice>
        </mc:AlternateContent>
        <mc:AlternateContent xmlns:mc="http://schemas.openxmlformats.org/markup-compatibility/2006">
          <mc:Choice Requires="x14">
            <control shapeId="2995256" r:id="rId59" name="Option Button 56">
              <controlPr defaultSize="0" autoFill="0" autoLine="0" autoPict="0">
                <anchor moveWithCells="1">
                  <from>
                    <xdr:col>5</xdr:col>
                    <xdr:colOff>504825</xdr:colOff>
                    <xdr:row>78</xdr:row>
                    <xdr:rowOff>76200</xdr:rowOff>
                  </from>
                  <to>
                    <xdr:col>5</xdr:col>
                    <xdr:colOff>800100</xdr:colOff>
                    <xdr:row>78</xdr:row>
                    <xdr:rowOff>295275</xdr:rowOff>
                  </to>
                </anchor>
              </controlPr>
            </control>
          </mc:Choice>
        </mc:AlternateContent>
        <mc:AlternateContent xmlns:mc="http://schemas.openxmlformats.org/markup-compatibility/2006">
          <mc:Choice Requires="x14">
            <control shapeId="2995257" r:id="rId60" name="Option Button 57">
              <controlPr defaultSize="0" autoFill="0" autoLine="0" autoPict="0">
                <anchor moveWithCells="1">
                  <from>
                    <xdr:col>6</xdr:col>
                    <xdr:colOff>428625</xdr:colOff>
                    <xdr:row>78</xdr:row>
                    <xdr:rowOff>38100</xdr:rowOff>
                  </from>
                  <to>
                    <xdr:col>6</xdr:col>
                    <xdr:colOff>762000</xdr:colOff>
                    <xdr:row>78</xdr:row>
                    <xdr:rowOff>342900</xdr:rowOff>
                  </to>
                </anchor>
              </controlPr>
            </control>
          </mc:Choice>
        </mc:AlternateContent>
        <mc:AlternateContent xmlns:mc="http://schemas.openxmlformats.org/markup-compatibility/2006">
          <mc:Choice Requires="x14">
            <control shapeId="2995258" r:id="rId61" name="Group Box 58">
              <controlPr defaultSize="0" autoFill="0" autoPict="0">
                <anchor moveWithCells="1">
                  <from>
                    <xdr:col>5</xdr:col>
                    <xdr:colOff>0</xdr:colOff>
                    <xdr:row>31</xdr:row>
                    <xdr:rowOff>0</xdr:rowOff>
                  </from>
                  <to>
                    <xdr:col>6</xdr:col>
                    <xdr:colOff>1152525</xdr:colOff>
                    <xdr:row>31</xdr:row>
                    <xdr:rowOff>390525</xdr:rowOff>
                  </to>
                </anchor>
              </controlPr>
            </control>
          </mc:Choice>
        </mc:AlternateContent>
        <mc:AlternateContent xmlns:mc="http://schemas.openxmlformats.org/markup-compatibility/2006">
          <mc:Choice Requires="x14">
            <control shapeId="2995259" r:id="rId62" name="Option Button 59">
              <controlPr defaultSize="0" autoFill="0" autoLine="0" autoPict="0">
                <anchor moveWithCells="1">
                  <from>
                    <xdr:col>5</xdr:col>
                    <xdr:colOff>504825</xdr:colOff>
                    <xdr:row>31</xdr:row>
                    <xdr:rowOff>104775</xdr:rowOff>
                  </from>
                  <to>
                    <xdr:col>5</xdr:col>
                    <xdr:colOff>800100</xdr:colOff>
                    <xdr:row>31</xdr:row>
                    <xdr:rowOff>304800</xdr:rowOff>
                  </to>
                </anchor>
              </controlPr>
            </control>
          </mc:Choice>
        </mc:AlternateContent>
        <mc:AlternateContent xmlns:mc="http://schemas.openxmlformats.org/markup-compatibility/2006">
          <mc:Choice Requires="x14">
            <control shapeId="2995260" r:id="rId63" name="Option Button 60">
              <controlPr defaultSize="0" autoFill="0" autoLine="0" autoPict="0">
                <anchor moveWithCells="1">
                  <from>
                    <xdr:col>6</xdr:col>
                    <xdr:colOff>485775</xdr:colOff>
                    <xdr:row>31</xdr:row>
                    <xdr:rowOff>76200</xdr:rowOff>
                  </from>
                  <to>
                    <xdr:col>6</xdr:col>
                    <xdr:colOff>762000</xdr:colOff>
                    <xdr:row>31</xdr:row>
                    <xdr:rowOff>276225</xdr:rowOff>
                  </to>
                </anchor>
              </controlPr>
            </control>
          </mc:Choice>
        </mc:AlternateContent>
        <mc:AlternateContent xmlns:mc="http://schemas.openxmlformats.org/markup-compatibility/2006">
          <mc:Choice Requires="x14">
            <control shapeId="2995261" r:id="rId64" name="Group Box 61">
              <controlPr defaultSize="0" autoFill="0" autoPict="0">
                <anchor moveWithCells="1">
                  <from>
                    <xdr:col>5</xdr:col>
                    <xdr:colOff>0</xdr:colOff>
                    <xdr:row>33</xdr:row>
                    <xdr:rowOff>0</xdr:rowOff>
                  </from>
                  <to>
                    <xdr:col>6</xdr:col>
                    <xdr:colOff>1152525</xdr:colOff>
                    <xdr:row>34</xdr:row>
                    <xdr:rowOff>9525</xdr:rowOff>
                  </to>
                </anchor>
              </controlPr>
            </control>
          </mc:Choice>
        </mc:AlternateContent>
        <mc:AlternateContent xmlns:mc="http://schemas.openxmlformats.org/markup-compatibility/2006">
          <mc:Choice Requires="x14">
            <control shapeId="2995262" r:id="rId65" name="Group Box 62">
              <controlPr defaultSize="0" autoFill="0" autoPict="0">
                <anchor moveWithCells="1">
                  <from>
                    <xdr:col>5</xdr:col>
                    <xdr:colOff>0</xdr:colOff>
                    <xdr:row>33</xdr:row>
                    <xdr:rowOff>0</xdr:rowOff>
                  </from>
                  <to>
                    <xdr:col>6</xdr:col>
                    <xdr:colOff>1152525</xdr:colOff>
                    <xdr:row>34</xdr:row>
                    <xdr:rowOff>0</xdr:rowOff>
                  </to>
                </anchor>
              </controlPr>
            </control>
          </mc:Choice>
        </mc:AlternateContent>
        <mc:AlternateContent xmlns:mc="http://schemas.openxmlformats.org/markup-compatibility/2006">
          <mc:Choice Requires="x14">
            <control shapeId="2995263" r:id="rId66" name="Option Button 63">
              <controlPr defaultSize="0" autoFill="0" autoLine="0" autoPict="0">
                <anchor moveWithCells="1">
                  <from>
                    <xdr:col>5</xdr:col>
                    <xdr:colOff>504825</xdr:colOff>
                    <xdr:row>33</xdr:row>
                    <xdr:rowOff>104775</xdr:rowOff>
                  </from>
                  <to>
                    <xdr:col>5</xdr:col>
                    <xdr:colOff>800100</xdr:colOff>
                    <xdr:row>33</xdr:row>
                    <xdr:rowOff>304800</xdr:rowOff>
                  </to>
                </anchor>
              </controlPr>
            </control>
          </mc:Choice>
        </mc:AlternateContent>
        <mc:AlternateContent xmlns:mc="http://schemas.openxmlformats.org/markup-compatibility/2006">
          <mc:Choice Requires="x14">
            <control shapeId="2995264" r:id="rId67" name="Option Button 64">
              <controlPr defaultSize="0" autoFill="0" autoLine="0" autoPict="0">
                <anchor moveWithCells="1">
                  <from>
                    <xdr:col>6</xdr:col>
                    <xdr:colOff>485775</xdr:colOff>
                    <xdr:row>33</xdr:row>
                    <xdr:rowOff>76200</xdr:rowOff>
                  </from>
                  <to>
                    <xdr:col>6</xdr:col>
                    <xdr:colOff>762000</xdr:colOff>
                    <xdr:row>33</xdr:row>
                    <xdr:rowOff>276225</xdr:rowOff>
                  </to>
                </anchor>
              </controlPr>
            </control>
          </mc:Choice>
        </mc:AlternateContent>
        <mc:AlternateContent xmlns:mc="http://schemas.openxmlformats.org/markup-compatibility/2006">
          <mc:Choice Requires="x14">
            <control shapeId="2995265" r:id="rId68" name="Group Box 65">
              <controlPr defaultSize="0" autoFill="0" autoPict="0">
                <anchor moveWithCells="1">
                  <from>
                    <xdr:col>5</xdr:col>
                    <xdr:colOff>0</xdr:colOff>
                    <xdr:row>171</xdr:row>
                    <xdr:rowOff>0</xdr:rowOff>
                  </from>
                  <to>
                    <xdr:col>7</xdr:col>
                    <xdr:colOff>0</xdr:colOff>
                    <xdr:row>172</xdr:row>
                    <xdr:rowOff>0</xdr:rowOff>
                  </to>
                </anchor>
              </controlPr>
            </control>
          </mc:Choice>
        </mc:AlternateContent>
        <mc:AlternateContent xmlns:mc="http://schemas.openxmlformats.org/markup-compatibility/2006">
          <mc:Choice Requires="x14">
            <control shapeId="2995266" r:id="rId69" name="Option Button 66">
              <controlPr defaultSize="0" autoFill="0" autoLine="0" autoPict="0">
                <anchor moveWithCells="1">
                  <from>
                    <xdr:col>5</xdr:col>
                    <xdr:colOff>533400</xdr:colOff>
                    <xdr:row>171</xdr:row>
                    <xdr:rowOff>104775</xdr:rowOff>
                  </from>
                  <to>
                    <xdr:col>5</xdr:col>
                    <xdr:colOff>790575</xdr:colOff>
                    <xdr:row>171</xdr:row>
                    <xdr:rowOff>371475</xdr:rowOff>
                  </to>
                </anchor>
              </controlPr>
            </control>
          </mc:Choice>
        </mc:AlternateContent>
        <mc:AlternateContent xmlns:mc="http://schemas.openxmlformats.org/markup-compatibility/2006">
          <mc:Choice Requires="x14">
            <control shapeId="2995267" r:id="rId70" name="Option Button 67">
              <controlPr defaultSize="0" autoFill="0" autoLine="0" autoPict="0">
                <anchor moveWithCells="1">
                  <from>
                    <xdr:col>6</xdr:col>
                    <xdr:colOff>485775</xdr:colOff>
                    <xdr:row>171</xdr:row>
                    <xdr:rowOff>104775</xdr:rowOff>
                  </from>
                  <to>
                    <xdr:col>6</xdr:col>
                    <xdr:colOff>762000</xdr:colOff>
                    <xdr:row>171</xdr:row>
                    <xdr:rowOff>371475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21"/>
  <dimension ref="A1:N38"/>
  <sheetViews>
    <sheetView showGridLines="0" workbookViewId="0">
      <pane ySplit="3" topLeftCell="A14" activePane="bottomLeft" state="frozen"/>
      <selection activeCell="A2" sqref="A2"/>
      <selection pane="bottomLeft" activeCell="D17" sqref="D17"/>
    </sheetView>
  </sheetViews>
  <sheetFormatPr defaultRowHeight="10.5" x14ac:dyDescent="0.15"/>
  <cols>
    <col min="1" max="1" width="87.6640625" customWidth="1"/>
    <col min="2" max="2" width="18" customWidth="1"/>
    <col min="3" max="3" width="18" hidden="1" customWidth="1"/>
    <col min="4" max="4" width="23" customWidth="1"/>
    <col min="6" max="6" width="12.5" bestFit="1" customWidth="1"/>
    <col min="7" max="7" width="0" hidden="1" customWidth="1"/>
  </cols>
  <sheetData>
    <row r="1" spans="1:14" s="3" customFormat="1" ht="43.5" customHeight="1" x14ac:dyDescent="0.2">
      <c r="A1" s="1486" t="str">
        <f>'t1'!A1</f>
        <v>REGIONE VALLE D'AOSTA - anno 2024</v>
      </c>
      <c r="B1" s="1486"/>
      <c r="C1" s="1486"/>
      <c r="D1" s="1486"/>
      <c r="H1" s="4"/>
      <c r="N1"/>
    </row>
    <row r="2" spans="1:14" ht="30" customHeight="1" thickBot="1" x14ac:dyDescent="0.25">
      <c r="A2" s="5"/>
      <c r="B2" s="1540" t="str">
        <f>IF(AND(A32="",(D25+D26+D27+D28+D29)&gt;0),"ATTENZIONE!  Inserire nel campo NOTE l'elenco delle Istituzioni ed il relativo importo dei rimborsi",IF(AND(A32&lt;&gt;"",(D25+D26+D27+D28+D29)=0),"ATTENZIONE!  il campo NOTE non deve essere compilato in assenza di rimborsi",""))</f>
        <v/>
      </c>
      <c r="C2" s="1540"/>
      <c r="D2" s="1540"/>
    </row>
    <row r="3" spans="1:14" ht="21.75" customHeight="1" thickBot="1" x14ac:dyDescent="0.2">
      <c r="A3" s="91" t="s">
        <v>125</v>
      </c>
      <c r="B3" s="251" t="s">
        <v>99</v>
      </c>
      <c r="C3" s="774"/>
      <c r="D3" s="252" t="s">
        <v>101</v>
      </c>
    </row>
    <row r="4" spans="1:14" s="93" customFormat="1" ht="23.25" customHeight="1" thickTop="1" x14ac:dyDescent="0.2">
      <c r="A4" s="92" t="s">
        <v>148</v>
      </c>
      <c r="B4" s="144" t="s">
        <v>152</v>
      </c>
      <c r="C4" s="777">
        <f>ROUND(D4,0)</f>
        <v>2331</v>
      </c>
      <c r="D4" s="187">
        <f>2127+204</f>
        <v>2331</v>
      </c>
    </row>
    <row r="5" spans="1:14" s="93" customFormat="1" ht="23.25" customHeight="1" x14ac:dyDescent="0.2">
      <c r="A5" s="95" t="s">
        <v>424</v>
      </c>
      <c r="B5" s="145" t="s">
        <v>164</v>
      </c>
      <c r="C5" s="134">
        <f t="shared" ref="C5:C29" si="0">ROUND(D5,0)</f>
        <v>366876</v>
      </c>
      <c r="D5" s="187">
        <v>366876</v>
      </c>
    </row>
    <row r="6" spans="1:14" s="93" customFormat="1" ht="23.25" customHeight="1" x14ac:dyDescent="0.2">
      <c r="A6" s="95" t="s">
        <v>142</v>
      </c>
      <c r="B6" s="134" t="s">
        <v>165</v>
      </c>
      <c r="C6" s="134">
        <f t="shared" si="0"/>
        <v>1449829</v>
      </c>
      <c r="D6" s="187">
        <f>4537+1445292.1</f>
        <v>1449829</v>
      </c>
    </row>
    <row r="7" spans="1:14" s="93" customFormat="1" ht="23.25" customHeight="1" x14ac:dyDescent="0.2">
      <c r="A7" s="95" t="s">
        <v>146</v>
      </c>
      <c r="B7" s="146" t="s">
        <v>166</v>
      </c>
      <c r="C7" s="134">
        <f t="shared" si="0"/>
        <v>356407</v>
      </c>
      <c r="D7" s="187">
        <v>356407</v>
      </c>
    </row>
    <row r="8" spans="1:14" s="93" customFormat="1" ht="23.25" customHeight="1" x14ac:dyDescent="0.2">
      <c r="A8" s="96" t="s">
        <v>145</v>
      </c>
      <c r="B8" s="134" t="s">
        <v>167</v>
      </c>
      <c r="C8" s="134">
        <f t="shared" si="0"/>
        <v>7485</v>
      </c>
      <c r="D8" s="187">
        <v>7485</v>
      </c>
    </row>
    <row r="9" spans="1:14" s="93" customFormat="1" ht="23.25" customHeight="1" x14ac:dyDescent="0.2">
      <c r="A9" s="114" t="s">
        <v>144</v>
      </c>
      <c r="B9" s="146" t="s">
        <v>168</v>
      </c>
      <c r="C9" s="134">
        <f t="shared" si="0"/>
        <v>0</v>
      </c>
      <c r="D9" s="187"/>
    </row>
    <row r="10" spans="1:14" s="93" customFormat="1" ht="23.25" customHeight="1" x14ac:dyDescent="0.2">
      <c r="A10" s="147" t="s">
        <v>425</v>
      </c>
      <c r="B10" s="134" t="s">
        <v>156</v>
      </c>
      <c r="C10" s="134">
        <f t="shared" si="0"/>
        <v>0</v>
      </c>
      <c r="D10" s="187"/>
    </row>
    <row r="11" spans="1:14" s="93" customFormat="1" ht="23.25" customHeight="1" x14ac:dyDescent="0.2">
      <c r="A11" s="96" t="s">
        <v>169</v>
      </c>
      <c r="B11" s="133" t="s">
        <v>170</v>
      </c>
      <c r="C11" s="134">
        <f t="shared" si="0"/>
        <v>529970</v>
      </c>
      <c r="D11" s="187">
        <v>529970</v>
      </c>
    </row>
    <row r="12" spans="1:14" s="93" customFormat="1" ht="23.25" customHeight="1" thickBot="1" x14ac:dyDescent="0.25">
      <c r="A12" s="1328" t="s">
        <v>1057</v>
      </c>
      <c r="B12" s="684" t="s">
        <v>1055</v>
      </c>
      <c r="C12" s="134">
        <f t="shared" si="0"/>
        <v>118684</v>
      </c>
      <c r="D12" s="187">
        <v>118684</v>
      </c>
    </row>
    <row r="13" spans="1:14" s="93" customFormat="1" ht="23.25" customHeight="1" thickBot="1" x14ac:dyDescent="0.25">
      <c r="A13" s="1328" t="s">
        <v>1058</v>
      </c>
      <c r="B13" s="1327" t="s">
        <v>1056</v>
      </c>
      <c r="C13" s="134">
        <f t="shared" si="0"/>
        <v>502102</v>
      </c>
      <c r="D13" s="187">
        <v>502102</v>
      </c>
    </row>
    <row r="14" spans="1:14" s="93" customFormat="1" ht="23.25" customHeight="1" x14ac:dyDescent="0.2">
      <c r="A14" s="96" t="s">
        <v>3</v>
      </c>
      <c r="B14" s="134" t="s">
        <v>4</v>
      </c>
      <c r="C14" s="134">
        <f t="shared" si="0"/>
        <v>1310379</v>
      </c>
      <c r="D14" s="187">
        <f>133641+1176738.24</f>
        <v>1310379</v>
      </c>
    </row>
    <row r="15" spans="1:14" s="93" customFormat="1" ht="23.25" customHeight="1" x14ac:dyDescent="0.2">
      <c r="A15" s="114" t="s">
        <v>103</v>
      </c>
      <c r="B15" s="146" t="s">
        <v>171</v>
      </c>
      <c r="C15" s="134">
        <f t="shared" si="0"/>
        <v>1201717</v>
      </c>
      <c r="D15" s="187">
        <f>796606+405111</f>
        <v>1201717</v>
      </c>
    </row>
    <row r="16" spans="1:14" s="93" customFormat="1" ht="23.25" customHeight="1" x14ac:dyDescent="0.2">
      <c r="A16" s="147" t="s">
        <v>426</v>
      </c>
      <c r="B16" s="145" t="s">
        <v>153</v>
      </c>
      <c r="C16" s="134">
        <f t="shared" si="0"/>
        <v>7135147</v>
      </c>
      <c r="D16" s="187">
        <f>2436434+4657759+40954</f>
        <v>7135147</v>
      </c>
    </row>
    <row r="17" spans="1:8" s="93" customFormat="1" ht="23.25" customHeight="1" x14ac:dyDescent="0.2">
      <c r="A17" s="97" t="s">
        <v>427</v>
      </c>
      <c r="B17" s="134" t="s">
        <v>154</v>
      </c>
      <c r="C17" s="134">
        <f t="shared" si="0"/>
        <v>0</v>
      </c>
      <c r="D17" s="187"/>
    </row>
    <row r="18" spans="1:8" ht="23.25" customHeight="1" x14ac:dyDescent="0.2">
      <c r="A18" s="94" t="s">
        <v>143</v>
      </c>
      <c r="B18" s="133" t="s">
        <v>163</v>
      </c>
      <c r="C18" s="134">
        <f t="shared" si="0"/>
        <v>872208</v>
      </c>
      <c r="D18" s="187">
        <f>448924+423283.57</f>
        <v>872208</v>
      </c>
    </row>
    <row r="19" spans="1:8" ht="23.25" customHeight="1" x14ac:dyDescent="0.2">
      <c r="A19" s="683" t="s">
        <v>605</v>
      </c>
      <c r="B19" s="684" t="s">
        <v>606</v>
      </c>
      <c r="C19" s="1327">
        <f t="shared" si="0"/>
        <v>658681</v>
      </c>
      <c r="D19" s="187">
        <f>631060+27621</f>
        <v>658681</v>
      </c>
    </row>
    <row r="20" spans="1:8" s="3" customFormat="1" ht="23.25" customHeight="1" x14ac:dyDescent="0.2">
      <c r="A20" s="92" t="s">
        <v>428</v>
      </c>
      <c r="B20" s="134" t="s">
        <v>159</v>
      </c>
      <c r="C20" s="134">
        <f t="shared" si="0"/>
        <v>25240902</v>
      </c>
      <c r="D20" s="187">
        <f>24191495+1049407</f>
        <v>25240902</v>
      </c>
      <c r="G20" s="4" t="s">
        <v>607</v>
      </c>
    </row>
    <row r="21" spans="1:8" ht="23.25" customHeight="1" x14ac:dyDescent="0.2">
      <c r="A21" s="92" t="s">
        <v>429</v>
      </c>
      <c r="B21" s="146" t="s">
        <v>160</v>
      </c>
      <c r="C21" s="134">
        <f t="shared" si="0"/>
        <v>61725</v>
      </c>
      <c r="D21" s="187">
        <v>61725</v>
      </c>
      <c r="G21" s="685" t="s">
        <v>608</v>
      </c>
    </row>
    <row r="22" spans="1:8" ht="23.25" customHeight="1" x14ac:dyDescent="0.2">
      <c r="A22" s="92" t="s">
        <v>102</v>
      </c>
      <c r="B22" s="134" t="s">
        <v>161</v>
      </c>
      <c r="C22" s="134">
        <f t="shared" si="0"/>
        <v>7703638</v>
      </c>
      <c r="D22" s="187">
        <v>7703638</v>
      </c>
      <c r="F22" s="686" t="s">
        <v>609</v>
      </c>
      <c r="G22" s="687">
        <v>2</v>
      </c>
    </row>
    <row r="23" spans="1:8" ht="23.25" customHeight="1" x14ac:dyDescent="0.2">
      <c r="A23" s="92" t="s">
        <v>430</v>
      </c>
      <c r="B23" s="146" t="s">
        <v>155</v>
      </c>
      <c r="C23" s="134">
        <f t="shared" si="0"/>
        <v>0</v>
      </c>
      <c r="D23" s="187"/>
    </row>
    <row r="24" spans="1:8" ht="23.25" customHeight="1" x14ac:dyDescent="0.2">
      <c r="A24" s="694" t="s">
        <v>620</v>
      </c>
      <c r="B24" s="134" t="s">
        <v>157</v>
      </c>
      <c r="C24" s="134">
        <f t="shared" si="0"/>
        <v>0</v>
      </c>
      <c r="D24" s="187"/>
    </row>
    <row r="25" spans="1:8" ht="23.25" customHeight="1" x14ac:dyDescent="0.2">
      <c r="A25" s="148" t="s">
        <v>459</v>
      </c>
      <c r="B25" s="133" t="s">
        <v>158</v>
      </c>
      <c r="C25" s="134">
        <f t="shared" si="0"/>
        <v>169723</v>
      </c>
      <c r="D25" s="187">
        <v>169723</v>
      </c>
    </row>
    <row r="26" spans="1:8" ht="23.25" customHeight="1" x14ac:dyDescent="0.2">
      <c r="A26" s="148" t="s">
        <v>460</v>
      </c>
      <c r="B26" s="133" t="s">
        <v>461</v>
      </c>
      <c r="C26" s="134">
        <f t="shared" si="0"/>
        <v>0</v>
      </c>
      <c r="D26" s="187"/>
    </row>
    <row r="27" spans="1:8" ht="23.25" customHeight="1" x14ac:dyDescent="0.2">
      <c r="A27" s="567" t="s">
        <v>488</v>
      </c>
      <c r="B27" s="133" t="s">
        <v>439</v>
      </c>
      <c r="C27" s="775">
        <f t="shared" si="0"/>
        <v>89333</v>
      </c>
      <c r="D27" s="187">
        <v>89333</v>
      </c>
    </row>
    <row r="28" spans="1:8" ht="23.25" customHeight="1" x14ac:dyDescent="0.2">
      <c r="A28" s="566" t="s">
        <v>487</v>
      </c>
      <c r="B28" s="134" t="s">
        <v>162</v>
      </c>
      <c r="C28" s="775">
        <f t="shared" si="0"/>
        <v>354832</v>
      </c>
      <c r="D28" s="187">
        <v>354832</v>
      </c>
    </row>
    <row r="29" spans="1:8" ht="23.25" customHeight="1" thickBot="1" x14ac:dyDescent="0.25">
      <c r="A29" s="570" t="s">
        <v>489</v>
      </c>
      <c r="B29" s="135" t="s">
        <v>462</v>
      </c>
      <c r="C29" s="776">
        <f t="shared" si="0"/>
        <v>1330</v>
      </c>
      <c r="D29" s="187">
        <v>1330</v>
      </c>
    </row>
    <row r="30" spans="1:8" ht="15" customHeight="1" thickBot="1" x14ac:dyDescent="0.2">
      <c r="A30" s="1536" t="str">
        <f>IF(G22=1,"ATTENZIONE è stata dichiarata IRAP commerciale. Controllare l'importo inserito!"," ")</f>
        <v xml:space="preserve"> </v>
      </c>
      <c r="B30" s="1536"/>
      <c r="C30" s="1536"/>
      <c r="D30" s="1536"/>
    </row>
    <row r="31" spans="1:8" ht="15" customHeight="1" x14ac:dyDescent="0.15">
      <c r="A31" s="1541" t="s">
        <v>577</v>
      </c>
      <c r="B31" s="1542"/>
      <c r="C31" s="1542"/>
      <c r="D31" s="1543"/>
    </row>
    <row r="32" spans="1:8" ht="95.1" customHeight="1" thickBot="1" x14ac:dyDescent="0.2">
      <c r="A32" s="1537" t="s">
        <v>1116</v>
      </c>
      <c r="B32" s="1538"/>
      <c r="C32" s="1538"/>
      <c r="D32" s="1539"/>
      <c r="E32" s="1534" t="str">
        <f>IF(AND(A32="",(D25+D26)&gt;0),"ATTENZIONE!  Inserire nel campo NOTE l'elenco delle Istituzioni ed il relativo importo dei rimborsi EFFETTUATI!",IF(AND(A32&lt;&gt;"",(D25+D26)=0),"ATTENZIONE!  il campo NOTE non deve essere compilato in assenza di rimborsi",""))</f>
        <v/>
      </c>
      <c r="F32" s="1535"/>
      <c r="G32" s="1535"/>
      <c r="H32" s="1535"/>
    </row>
    <row r="33" spans="1:8" ht="15" customHeight="1" thickBot="1" x14ac:dyDescent="0.2">
      <c r="A33" s="1536"/>
      <c r="B33" s="1536"/>
      <c r="C33" s="1536"/>
      <c r="D33" s="1536"/>
    </row>
    <row r="34" spans="1:8" ht="15" customHeight="1" x14ac:dyDescent="0.15">
      <c r="A34" s="1541" t="s">
        <v>578</v>
      </c>
      <c r="B34" s="1542"/>
      <c r="C34" s="1542"/>
      <c r="D34" s="1543"/>
    </row>
    <row r="35" spans="1:8" ht="95.1" customHeight="1" thickBot="1" x14ac:dyDescent="0.2">
      <c r="A35" s="1537" t="s">
        <v>1117</v>
      </c>
      <c r="B35" s="1538"/>
      <c r="C35" s="1538"/>
      <c r="D35" s="1539"/>
      <c r="E35" s="1534" t="str">
        <f>IF(AND(A35="",(D27+D28+D29)&gt;0),"ATTENZIONE!  Inserire nel campo NOTE l'elenco delle Istituzioni ed il relativo importo dei rimborsi RICEVUTI!",IF(AND(A35&lt;&gt;"",(D27+D28+D29)=0),"ATTENZIONE!  il campo NOTE non deve essere compilato in assenza di rimborsi",""))</f>
        <v/>
      </c>
      <c r="F35" s="1535"/>
      <c r="G35" s="1535"/>
      <c r="H35" s="1535"/>
    </row>
    <row r="36" spans="1:8" ht="23.25" customHeight="1" x14ac:dyDescent="0.2">
      <c r="A36" s="3" t="s">
        <v>492</v>
      </c>
    </row>
    <row r="37" spans="1:8" ht="25.5" customHeight="1" x14ac:dyDescent="0.2">
      <c r="A37" s="1533" t="s">
        <v>579</v>
      </c>
      <c r="B37" s="1533"/>
      <c r="C37" s="1533"/>
      <c r="D37" s="1533"/>
    </row>
    <row r="38" spans="1:8" ht="25.5" customHeight="1" x14ac:dyDescent="0.2">
      <c r="A38" s="1533" t="s">
        <v>580</v>
      </c>
      <c r="B38" s="1533"/>
      <c r="C38" s="1533"/>
      <c r="D38" s="1533"/>
    </row>
  </sheetData>
  <sheetProtection algorithmName="SHA-512" hashValue="FceZBZH1fT0b1sthrHZUqmuKiKwQeICxzfEePMewQTb7yGJfExdUvwAYtfcTNcwefEpC4/LpmAyOJPhr3HJ2vg==" saltValue="0rpiC04YaD+WcKcqnYdQfQ==" spinCount="100000" sheet="1" formatColumns="0" selectLockedCells="1"/>
  <mergeCells count="12">
    <mergeCell ref="B2:D2"/>
    <mergeCell ref="A32:D32"/>
    <mergeCell ref="A31:D31"/>
    <mergeCell ref="A34:D34"/>
    <mergeCell ref="A1:D1"/>
    <mergeCell ref="A30:D30"/>
    <mergeCell ref="A38:D38"/>
    <mergeCell ref="E32:H32"/>
    <mergeCell ref="A33:D33"/>
    <mergeCell ref="A35:D35"/>
    <mergeCell ref="E35:H35"/>
    <mergeCell ref="A37:D37"/>
  </mergeCells>
  <phoneticPr fontId="30" type="noConversion"/>
  <dataValidations count="2">
    <dataValidation type="textLength" allowBlank="1" showInputMessage="1" showErrorMessage="1" errorTitle="ATTENZIONE ! ! ! " error="E' stato superato il limite di 1000 caratteri" sqref="A32:D32 A35:D35">
      <formula1>0</formula1>
      <formula2>1000</formula2>
    </dataValidation>
    <dataValidation type="whole" allowBlank="1" showInputMessage="1" showErrorMessage="1" errorTitle="ERRORE NEL DATO IMMESSO" error="INSERIRE SOLO NUMERI INTERI" sqref="D4:D29">
      <formula1>1</formula1>
      <formula2>999999999999</formula2>
    </dataValidation>
  </dataValidations>
  <printOptions horizontalCentered="1" verticalCentered="1"/>
  <pageMargins left="0" right="0" top="0.19685039370078741" bottom="0.15748031496062992" header="0.19685039370078741" footer="0.19685039370078741"/>
  <pageSetup paperSize="9" scale="85" orientation="portrait" horizontalDpi="300"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2929" r:id="rId4" name="Drop Down 945">
              <controlPr defaultSize="0" autoLine="0" autoPict="0" altText="No">
                <anchor moveWithCells="1">
                  <from>
                    <xdr:col>4</xdr:col>
                    <xdr:colOff>38100</xdr:colOff>
                    <xdr:row>21</xdr:row>
                    <xdr:rowOff>66675</xdr:rowOff>
                  </from>
                  <to>
                    <xdr:col>5</xdr:col>
                    <xdr:colOff>0</xdr:colOff>
                    <xdr:row>21</xdr:row>
                    <xdr:rowOff>257175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6"/>
  <sheetViews>
    <sheetView showGridLines="0" zoomScale="80" zoomScaleNormal="80" workbookViewId="0">
      <selection activeCell="C9" sqref="C9"/>
    </sheetView>
  </sheetViews>
  <sheetFormatPr defaultColWidth="9.33203125" defaultRowHeight="11.25" x14ac:dyDescent="0.2"/>
  <cols>
    <col min="1" max="1" width="65.6640625" style="3" customWidth="1"/>
    <col min="2" max="2" width="10.6640625" style="2" customWidth="1"/>
    <col min="3" max="3" width="20.6640625" style="3" customWidth="1"/>
    <col min="4" max="4" width="3.33203125" style="3" customWidth="1"/>
    <col min="5" max="5" width="65.6640625" style="3" customWidth="1"/>
    <col min="6" max="6" width="10.6640625" style="3" customWidth="1"/>
    <col min="7" max="7" width="20.6640625" style="3" customWidth="1"/>
    <col min="8" max="8" width="73.33203125" style="3" customWidth="1"/>
    <col min="9" max="14" width="9.33203125" style="3" customWidth="1"/>
    <col min="15" max="18" width="9.33203125" style="3" hidden="1" customWidth="1"/>
    <col min="19" max="19" width="8" style="3" hidden="1" customWidth="1"/>
    <col min="20" max="23" width="9.33203125" style="3" hidden="1" customWidth="1"/>
    <col min="24" max="16384" width="9.33203125" style="3"/>
  </cols>
  <sheetData>
    <row r="1" spans="1:23" ht="43.5" customHeight="1" x14ac:dyDescent="0.2">
      <c r="A1" s="920" t="str">
        <f>'t1'!A1</f>
        <v>REGIONE VALLE D'AOSTA - anno 2024</v>
      </c>
      <c r="B1" s="920"/>
      <c r="C1" s="920"/>
      <c r="D1" s="920"/>
      <c r="E1" s="920"/>
      <c r="F1" s="920"/>
      <c r="G1" s="920"/>
      <c r="H1" s="921" t="s">
        <v>332</v>
      </c>
      <c r="Q1" s="922">
        <v>81</v>
      </c>
      <c r="R1" s="922" t="s">
        <v>272</v>
      </c>
    </row>
    <row r="2" spans="1:23" s="824" customFormat="1" ht="15.2" customHeight="1" x14ac:dyDescent="0.2">
      <c r="B2" s="923"/>
      <c r="N2"/>
      <c r="O2" s="825"/>
      <c r="P2" s="825"/>
      <c r="Q2" s="825"/>
      <c r="R2" s="924"/>
      <c r="S2" s="924"/>
      <c r="T2" s="825"/>
      <c r="U2" s="825"/>
      <c r="V2" s="825"/>
      <c r="W2" s="924"/>
    </row>
    <row r="3" spans="1:23" s="824" customFormat="1" ht="44.45" customHeight="1" x14ac:dyDescent="0.2">
      <c r="A3" s="925"/>
      <c r="B3" s="926"/>
      <c r="C3" s="926"/>
      <c r="D3" s="926"/>
      <c r="E3" s="926"/>
      <c r="F3" s="926"/>
      <c r="G3" s="926"/>
      <c r="N3"/>
      <c r="O3" s="927"/>
      <c r="P3" s="927"/>
      <c r="Q3" s="825"/>
      <c r="R3" s="924"/>
      <c r="S3" s="924"/>
      <c r="T3" s="927"/>
      <c r="U3" s="927"/>
      <c r="V3" s="825"/>
      <c r="W3" s="924"/>
    </row>
    <row r="4" spans="1:23" s="824" customFormat="1" ht="15.2" customHeight="1" thickBot="1" x14ac:dyDescent="0.25">
      <c r="B4" s="923"/>
      <c r="N4"/>
      <c r="O4" s="825"/>
      <c r="P4" s="825"/>
      <c r="Q4" s="825"/>
      <c r="R4" s="924"/>
      <c r="S4" s="924"/>
      <c r="T4" s="825"/>
      <c r="U4" s="825"/>
      <c r="V4" s="825"/>
      <c r="W4" s="924"/>
    </row>
    <row r="5" spans="1:23" s="824" customFormat="1" ht="25.5" customHeight="1" thickBot="1" x14ac:dyDescent="0.25">
      <c r="A5" s="928" t="s">
        <v>970</v>
      </c>
      <c r="B5" s="929"/>
      <c r="C5" s="930"/>
      <c r="D5" s="931"/>
      <c r="E5" s="928" t="s">
        <v>971</v>
      </c>
      <c r="F5" s="932"/>
      <c r="G5" s="930"/>
      <c r="H5" s="933" t="s">
        <v>678</v>
      </c>
      <c r="O5" s="934"/>
      <c r="P5" s="934"/>
      <c r="Q5" s="825"/>
      <c r="R5" s="924"/>
      <c r="S5" s="924"/>
      <c r="T5" s="934"/>
      <c r="U5" s="934"/>
      <c r="V5" s="825"/>
      <c r="W5" s="924"/>
    </row>
    <row r="6" spans="1:23" ht="17.100000000000001" customHeight="1" thickBot="1" x14ac:dyDescent="0.25">
      <c r="A6" s="935" t="s">
        <v>125</v>
      </c>
      <c r="B6" s="86" t="s">
        <v>126</v>
      </c>
      <c r="C6" s="86" t="s">
        <v>241</v>
      </c>
      <c r="D6" s="936"/>
      <c r="E6" s="935" t="s">
        <v>125</v>
      </c>
      <c r="F6" s="668" t="s">
        <v>126</v>
      </c>
      <c r="G6" s="545" t="s">
        <v>241</v>
      </c>
      <c r="H6" s="937" t="s">
        <v>967</v>
      </c>
      <c r="I6" s="938"/>
      <c r="J6" s="938"/>
      <c r="K6" s="938"/>
      <c r="L6" s="938"/>
      <c r="M6" s="939"/>
      <c r="N6" s="939"/>
      <c r="O6" s="939"/>
      <c r="P6" s="939"/>
      <c r="Q6" s="939"/>
    </row>
    <row r="7" spans="1:23" ht="17.100000000000001" customHeight="1" thickBot="1" x14ac:dyDescent="0.3">
      <c r="A7" s="940" t="s">
        <v>972</v>
      </c>
      <c r="B7" s="941"/>
      <c r="C7" s="942"/>
      <c r="D7" s="943"/>
      <c r="E7" s="940" t="s">
        <v>972</v>
      </c>
      <c r="F7" s="944"/>
      <c r="G7" s="945"/>
      <c r="H7" s="933" t="s">
        <v>764</v>
      </c>
      <c r="I7" s="938"/>
      <c r="J7" s="938"/>
      <c r="K7" s="938"/>
      <c r="L7" s="938"/>
      <c r="M7" s="939"/>
      <c r="O7" s="860" t="s">
        <v>679</v>
      </c>
      <c r="P7" s="946"/>
      <c r="Q7" s="947"/>
      <c r="R7" s="947"/>
      <c r="S7" s="924"/>
      <c r="T7" s="860" t="s">
        <v>680</v>
      </c>
      <c r="U7" s="946"/>
      <c r="V7" s="947"/>
      <c r="W7" s="947"/>
    </row>
    <row r="8" spans="1:23" ht="17.100000000000001" customHeight="1" x14ac:dyDescent="0.2">
      <c r="A8" s="948" t="s">
        <v>866</v>
      </c>
      <c r="B8" s="949"/>
      <c r="C8" s="950"/>
      <c r="D8" s="951"/>
      <c r="E8" s="948" t="s">
        <v>867</v>
      </c>
      <c r="F8" s="952"/>
      <c r="G8" s="953"/>
      <c r="H8" s="1544" t="str">
        <f>IF(LEN(H11&amp;H12)&gt;0,"Attenzione, le seguenti voci creano incongruenza perché magg. del 10% del totale:","OK")</f>
        <v>OK</v>
      </c>
      <c r="I8" s="938"/>
      <c r="J8" s="938"/>
      <c r="K8" s="938"/>
      <c r="L8" s="938"/>
      <c r="M8" s="939"/>
      <c r="O8" s="796" t="s">
        <v>682</v>
      </c>
      <c r="P8" s="796" t="s">
        <v>683</v>
      </c>
      <c r="Q8" s="796" t="s">
        <v>684</v>
      </c>
      <c r="R8" s="796" t="s">
        <v>685</v>
      </c>
      <c r="S8" s="924"/>
      <c r="T8" s="796" t="s">
        <v>682</v>
      </c>
      <c r="U8" s="796" t="s">
        <v>683</v>
      </c>
      <c r="V8" s="796" t="s">
        <v>684</v>
      </c>
      <c r="W8" s="796" t="s">
        <v>685</v>
      </c>
    </row>
    <row r="9" spans="1:23" ht="17.100000000000001" customHeight="1" x14ac:dyDescent="0.2">
      <c r="A9" s="1346" t="s">
        <v>1078</v>
      </c>
      <c r="B9" s="668" t="s">
        <v>1062</v>
      </c>
      <c r="C9" s="955">
        <v>781699</v>
      </c>
      <c r="D9" s="956"/>
      <c r="E9" s="129" t="s">
        <v>1091</v>
      </c>
      <c r="F9" s="668" t="s">
        <v>869</v>
      </c>
      <c r="G9" s="957">
        <v>796373</v>
      </c>
      <c r="H9" s="1545"/>
      <c r="I9" s="938"/>
      <c r="J9" s="938"/>
      <c r="O9" s="2">
        <v>81</v>
      </c>
      <c r="P9" s="2">
        <v>2</v>
      </c>
      <c r="Q9" s="2" t="str">
        <f>B9</f>
        <v>F29O</v>
      </c>
      <c r="R9" s="313">
        <f>ROUND(C9,0)</f>
        <v>781699</v>
      </c>
      <c r="S9" s="924"/>
      <c r="T9" s="2">
        <v>81</v>
      </c>
      <c r="U9" s="2">
        <v>61</v>
      </c>
      <c r="V9" s="2" t="str">
        <f>F9</f>
        <v>U449</v>
      </c>
      <c r="W9" s="313">
        <f>ROUND(G9,0)</f>
        <v>796373</v>
      </c>
    </row>
    <row r="10" spans="1:23" ht="17.100000000000001" customHeight="1" thickBot="1" x14ac:dyDescent="0.25">
      <c r="A10" s="954" t="s">
        <v>1063</v>
      </c>
      <c r="B10" s="668" t="s">
        <v>889</v>
      </c>
      <c r="C10" s="955"/>
      <c r="D10" s="956"/>
      <c r="E10" s="958" t="s">
        <v>870</v>
      </c>
      <c r="F10" s="959"/>
      <c r="G10" s="960">
        <f>SUM(G9:G9)</f>
        <v>796373</v>
      </c>
      <c r="H10" s="961"/>
      <c r="I10" s="938"/>
      <c r="J10" s="938"/>
      <c r="O10" s="2">
        <v>81</v>
      </c>
      <c r="P10" s="2">
        <v>2</v>
      </c>
      <c r="Q10" s="2" t="str">
        <f>B10</f>
        <v>F16Z</v>
      </c>
      <c r="R10" s="313">
        <f>ROUND(C10,0)</f>
        <v>0</v>
      </c>
      <c r="S10" s="924"/>
      <c r="T10" s="2" t="s">
        <v>551</v>
      </c>
      <c r="U10" s="2"/>
    </row>
    <row r="11" spans="1:23" ht="17.100000000000001" customHeight="1" thickBot="1" x14ac:dyDescent="0.25">
      <c r="A11" s="954" t="s">
        <v>916</v>
      </c>
      <c r="B11" s="668" t="s">
        <v>917</v>
      </c>
      <c r="C11" s="955">
        <v>109650</v>
      </c>
      <c r="D11" s="956"/>
      <c r="E11" s="962" t="str">
        <f>A18</f>
        <v>Totale posizione e risultato qualifica un. dirigenziale</v>
      </c>
      <c r="F11" s="963"/>
      <c r="G11" s="964">
        <f>G10</f>
        <v>796373</v>
      </c>
      <c r="H11" s="965" t="str">
        <f>IF(C18&lt;&gt;0,IF(R12/ABS(C$18)&gt;0.1,"Risultato q.u.d. - Altre risorse fisse - F00O",""),"")</f>
        <v/>
      </c>
      <c r="I11" s="966"/>
      <c r="J11" s="966"/>
      <c r="O11" s="2">
        <v>81</v>
      </c>
      <c r="P11" s="2">
        <v>2</v>
      </c>
      <c r="Q11" s="2" t="str">
        <f>B11</f>
        <v>F17Z</v>
      </c>
      <c r="R11" s="313">
        <f>ROUND(C11,0)</f>
        <v>109650</v>
      </c>
      <c r="S11" s="924"/>
      <c r="U11" s="2"/>
      <c r="V11" s="2"/>
      <c r="W11" s="313"/>
    </row>
    <row r="12" spans="1:23" ht="17.100000000000001" customHeight="1" x14ac:dyDescent="0.2">
      <c r="A12" s="954" t="s">
        <v>931</v>
      </c>
      <c r="B12" s="668" t="s">
        <v>890</v>
      </c>
      <c r="C12" s="955"/>
      <c r="D12" s="956"/>
      <c r="E12" s="967"/>
      <c r="F12" s="968"/>
      <c r="G12" s="969"/>
      <c r="H12" s="965" t="str">
        <f>IF(C18&lt;&gt;0,IF(R16/ABS(C$18)&gt;0.1,"Risultato q.u.d. - Altre decurtazioni - F01P",""),"")</f>
        <v/>
      </c>
      <c r="I12" s="966"/>
      <c r="J12" s="966"/>
      <c r="O12" s="970">
        <v>81</v>
      </c>
      <c r="P12" s="970">
        <v>2</v>
      </c>
      <c r="Q12" s="970" t="str">
        <f>B12</f>
        <v>F00O</v>
      </c>
      <c r="R12" s="971">
        <f>ROUND(C12,0)</f>
        <v>0</v>
      </c>
      <c r="S12" s="924"/>
      <c r="T12" s="972"/>
      <c r="U12" s="972"/>
      <c r="V12" s="2"/>
      <c r="W12" s="2"/>
    </row>
    <row r="13" spans="1:23" ht="17.100000000000001" customHeight="1" thickBot="1" x14ac:dyDescent="0.25">
      <c r="A13" s="973" t="s">
        <v>871</v>
      </c>
      <c r="B13" s="974"/>
      <c r="C13" s="975">
        <f>SUM(C9:C12)</f>
        <v>891349</v>
      </c>
      <c r="D13" s="956"/>
      <c r="E13" s="968"/>
      <c r="F13" s="968"/>
      <c r="G13" s="969"/>
      <c r="H13" s="976"/>
      <c r="I13" s="938"/>
      <c r="J13" s="938"/>
      <c r="O13" s="2"/>
      <c r="P13" s="2"/>
      <c r="Q13" s="2"/>
      <c r="R13" s="2"/>
      <c r="S13" s="924"/>
      <c r="T13" s="2"/>
      <c r="U13" s="2"/>
      <c r="V13" s="2"/>
      <c r="W13" s="313"/>
    </row>
    <row r="14" spans="1:23" ht="17.100000000000001" customHeight="1" thickBot="1" x14ac:dyDescent="0.25">
      <c r="A14" s="977" t="s">
        <v>759</v>
      </c>
      <c r="B14" s="978"/>
      <c r="C14" s="979"/>
      <c r="D14" s="956"/>
      <c r="E14" s="968"/>
      <c r="F14" s="968"/>
      <c r="G14" s="969"/>
      <c r="H14" s="933" t="s">
        <v>973</v>
      </c>
      <c r="I14" s="938"/>
      <c r="J14" s="938"/>
      <c r="O14" s="2"/>
      <c r="P14" s="2"/>
      <c r="Q14" s="2"/>
      <c r="R14" s="2"/>
      <c r="S14" s="924"/>
      <c r="T14" s="972"/>
      <c r="U14" s="972"/>
      <c r="V14" s="2"/>
      <c r="W14" s="2"/>
    </row>
    <row r="15" spans="1:23" ht="17.100000000000001" customHeight="1" x14ac:dyDescent="0.2">
      <c r="A15" s="954" t="s">
        <v>798</v>
      </c>
      <c r="B15" s="980" t="s">
        <v>799</v>
      </c>
      <c r="C15" s="981"/>
      <c r="D15" s="956"/>
      <c r="E15" s="968"/>
      <c r="F15" s="968"/>
      <c r="G15" s="969"/>
      <c r="H15" s="1544" t="str">
        <f>IF(LEN(H18&amp;H19&amp;H20)&gt;0,"Attenzione, nelle seguenti sezioni le destinazioni risultano superiori alle relative risorse e generano pertanto squadratura 8:","OK")</f>
        <v>OK</v>
      </c>
      <c r="I15" s="938"/>
      <c r="J15" s="938"/>
      <c r="O15" s="2">
        <v>81</v>
      </c>
      <c r="P15" s="2">
        <v>81</v>
      </c>
      <c r="Q15" s="2" t="str">
        <f>B15</f>
        <v>F01S</v>
      </c>
      <c r="R15" s="313">
        <f>ROUND(C15,0)</f>
        <v>0</v>
      </c>
      <c r="S15" s="924"/>
      <c r="T15" s="2"/>
      <c r="U15" s="2"/>
      <c r="V15" s="2"/>
      <c r="W15" s="313"/>
    </row>
    <row r="16" spans="1:23" ht="17.100000000000001" customHeight="1" x14ac:dyDescent="0.2">
      <c r="A16" s="954" t="s">
        <v>932</v>
      </c>
      <c r="B16" s="980" t="s">
        <v>760</v>
      </c>
      <c r="C16" s="981"/>
      <c r="D16" s="956"/>
      <c r="E16" s="968"/>
      <c r="F16" s="968"/>
      <c r="G16" s="969"/>
      <c r="H16" s="1545"/>
      <c r="I16" s="938"/>
      <c r="J16" s="938"/>
      <c r="O16" s="970">
        <v>81</v>
      </c>
      <c r="P16" s="970">
        <v>81</v>
      </c>
      <c r="Q16" s="970" t="str">
        <f>B16</f>
        <v>F01P</v>
      </c>
      <c r="R16" s="971">
        <f>ROUND(C16,0)</f>
        <v>0</v>
      </c>
      <c r="S16" s="924"/>
      <c r="T16" s="2"/>
      <c r="U16" s="2"/>
      <c r="V16" s="2"/>
      <c r="W16" s="313"/>
    </row>
    <row r="17" spans="1:23" ht="17.100000000000001" customHeight="1" thickBot="1" x14ac:dyDescent="0.25">
      <c r="A17" s="973" t="s">
        <v>761</v>
      </c>
      <c r="B17" s="983"/>
      <c r="C17" s="975">
        <f>SUM(C15:C16)</f>
        <v>0</v>
      </c>
      <c r="D17" s="956"/>
      <c r="E17" s="968"/>
      <c r="F17" s="968"/>
      <c r="G17" s="969"/>
      <c r="H17" s="1545"/>
      <c r="I17" s="938"/>
      <c r="J17" s="938"/>
      <c r="O17" s="2" t="s">
        <v>551</v>
      </c>
      <c r="P17" s="2"/>
      <c r="Q17" s="2"/>
      <c r="R17" s="2"/>
      <c r="S17" s="924"/>
      <c r="U17" s="2"/>
      <c r="V17" s="2"/>
      <c r="W17" s="313"/>
    </row>
    <row r="18" spans="1:23" ht="17.100000000000001" customHeight="1" thickBot="1" x14ac:dyDescent="0.25">
      <c r="A18" s="986" t="s">
        <v>872</v>
      </c>
      <c r="B18" s="987"/>
      <c r="C18" s="988">
        <f>C13-C17</f>
        <v>891349</v>
      </c>
      <c r="D18" s="956"/>
      <c r="E18" s="989"/>
      <c r="F18" s="990"/>
      <c r="G18" s="991"/>
      <c r="H18" s="982" t="str">
        <f>IF(SUMIFS($R:$R,$P:$P,"&lt;&gt;81",$O:$O,$Q1)-SUMIFS($R:$R,$P:$P,"81",$O:$O,$Q1)-SUMIF($T:$T,$Q1,$W:$W)&lt;0,$A$7,"")</f>
        <v/>
      </c>
      <c r="I18" s="938"/>
      <c r="J18" s="938"/>
      <c r="O18" s="2"/>
      <c r="P18" s="2"/>
      <c r="Q18" s="2"/>
      <c r="R18" s="2"/>
      <c r="S18" s="924"/>
      <c r="T18" s="2"/>
      <c r="U18" s="2"/>
      <c r="V18" s="2"/>
      <c r="W18" s="313"/>
    </row>
    <row r="19" spans="1:23" ht="17.100000000000001" customHeight="1" thickBot="1" x14ac:dyDescent="0.3">
      <c r="A19" s="992" t="s">
        <v>762</v>
      </c>
      <c r="B19" s="963"/>
      <c r="C19" s="988">
        <f>C18</f>
        <v>891349</v>
      </c>
      <c r="D19" s="956"/>
      <c r="E19" s="993" t="s">
        <v>763</v>
      </c>
      <c r="F19" s="963"/>
      <c r="G19" s="994">
        <f>G11</f>
        <v>796373</v>
      </c>
      <c r="H19" s="984"/>
      <c r="I19" s="985"/>
      <c r="J19" s="938"/>
      <c r="O19" s="2"/>
      <c r="P19" s="2"/>
      <c r="Q19" s="2"/>
      <c r="R19" s="996"/>
      <c r="S19" s="2"/>
      <c r="U19" s="2"/>
      <c r="V19" s="2"/>
      <c r="W19" s="313"/>
    </row>
    <row r="20" spans="1:23" ht="5.0999999999999996" customHeight="1" x14ac:dyDescent="0.2">
      <c r="A20" s="1337"/>
      <c r="B20" s="1338"/>
      <c r="C20" s="1337"/>
      <c r="E20" s="1337"/>
      <c r="F20" s="1337"/>
      <c r="G20" s="1337"/>
      <c r="H20" s="1339"/>
      <c r="I20" s="938"/>
      <c r="J20" s="938"/>
      <c r="O20" s="2"/>
      <c r="P20" s="2"/>
      <c r="Q20" s="2"/>
      <c r="R20" s="2"/>
      <c r="S20" s="2"/>
      <c r="T20" s="972"/>
      <c r="U20" s="972"/>
      <c r="V20" s="2"/>
      <c r="W20" s="2"/>
    </row>
    <row r="21" spans="1:23" ht="15" customHeight="1" x14ac:dyDescent="0.25">
      <c r="A21" s="924" t="s">
        <v>974</v>
      </c>
      <c r="C21" s="1347"/>
      <c r="D21" s="1347"/>
      <c r="H21" s="938"/>
      <c r="I21" s="995"/>
      <c r="J21" s="995"/>
      <c r="S21" s="996"/>
      <c r="T21" s="972"/>
      <c r="U21" s="972"/>
      <c r="V21" s="2"/>
      <c r="W21" s="2"/>
    </row>
    <row r="22" spans="1:23" ht="15" customHeight="1" x14ac:dyDescent="0.2">
      <c r="A22" s="924" t="s">
        <v>975</v>
      </c>
      <c r="H22" s="938"/>
      <c r="I22" s="995"/>
      <c r="J22" s="995"/>
      <c r="S22" s="2"/>
      <c r="T22" s="2"/>
      <c r="U22" s="2"/>
      <c r="V22" s="2"/>
      <c r="W22" s="313"/>
    </row>
    <row r="23" spans="1:23" ht="15" customHeight="1" x14ac:dyDescent="0.2">
      <c r="A23" s="924" t="s">
        <v>979</v>
      </c>
    </row>
    <row r="24" spans="1:23" ht="15" customHeight="1" x14ac:dyDescent="0.2">
      <c r="A24" s="87" t="s">
        <v>1079</v>
      </c>
    </row>
    <row r="25" spans="1:23" ht="15" customHeight="1" x14ac:dyDescent="0.2">
      <c r="A25" s="87" t="s">
        <v>1080</v>
      </c>
    </row>
    <row r="26" spans="1:23" ht="17.100000000000001" customHeight="1" x14ac:dyDescent="0.2"/>
  </sheetData>
  <sheetProtection algorithmName="SHA-512" hashValue="alqqg/0XY8h7dbqXK1UTMQ4qpn8iRROLx+y2W3M1U6TMqaBRNvGOd4lRXZBDNg2/9PvJSA0z5C5+i3H5vVXutw==" saltValue="j29ucMtf7v1Zw7EE8Hmt/A==" spinCount="100000" sheet="1" formatColumns="0" selectLockedCells="1"/>
  <mergeCells count="2">
    <mergeCell ref="H8:H9"/>
    <mergeCell ref="H15:H17"/>
  </mergeCells>
  <dataValidations count="2">
    <dataValidation type="whole" allowBlank="1" showInputMessage="1" showErrorMessage="1" errorTitle="ERRORE NEL DATO IMMESSO" error="INSERIRE SOLO NUMERI INTERI" sqref="C17 C13">
      <formula1>-999999999999</formula1>
      <formula2>999999999999</formula2>
    </dataValidation>
    <dataValidation type="whole" allowBlank="1" showInputMessage="1" showErrorMessage="1" errorTitle="ERRORE NEL DATO IMMESSO" error="INSERIRE SOLO NUMERI INTERI" sqref="C15:C16">
      <formula1>0</formula1>
      <formula2>999999999999</formula2>
    </dataValidation>
  </dataValidations>
  <printOptions horizontalCentered="1"/>
  <pageMargins left="0.39370078740157483" right="0.39370078740157483" top="0.98425196850393704" bottom="0.39370078740157483" header="0.51181102362204722" footer="0.19685039370078741"/>
  <pageSetup paperSize="9" scale="81" orientation="landscape" horizontalDpi="300" verticalDpi="4294967292"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1">
    <pageSetUpPr fitToPage="1"/>
  </sheetPr>
  <dimension ref="A1:W46"/>
  <sheetViews>
    <sheetView showGridLines="0" topLeftCell="A5" zoomScale="80" zoomScaleNormal="80" workbookViewId="0">
      <selection activeCell="G19" sqref="G19"/>
    </sheetView>
  </sheetViews>
  <sheetFormatPr defaultColWidth="11.6640625" defaultRowHeight="11.25" x14ac:dyDescent="0.2"/>
  <cols>
    <col min="1" max="1" width="65.6640625" style="824" customWidth="1"/>
    <col min="2" max="2" width="10.6640625" style="923" customWidth="1"/>
    <col min="3" max="3" width="20.6640625" style="824" customWidth="1"/>
    <col min="4" max="4" width="3.33203125" style="824" customWidth="1"/>
    <col min="5" max="5" width="65.6640625" style="824" customWidth="1"/>
    <col min="6" max="6" width="10.6640625" style="824" customWidth="1"/>
    <col min="7" max="7" width="20.6640625" style="824" customWidth="1"/>
    <col min="8" max="8" width="70.6640625" style="824" customWidth="1"/>
    <col min="9" max="14" width="9.33203125" style="824" customWidth="1"/>
    <col min="15" max="23" width="11.6640625" style="824" hidden="1" customWidth="1"/>
    <col min="24" max="24" width="11.6640625" style="824" customWidth="1"/>
    <col min="25" max="16384" width="11.6640625" style="824"/>
  </cols>
  <sheetData>
    <row r="1" spans="1:23" ht="43.5" customHeight="1" x14ac:dyDescent="0.2">
      <c r="A1" s="997" t="str">
        <f>'t1'!$A$1</f>
        <v>REGIONE VALLE D'AOSTA - anno 2024</v>
      </c>
      <c r="B1" s="997"/>
      <c r="C1" s="997"/>
      <c r="D1" s="997"/>
      <c r="E1" s="997"/>
      <c r="F1" s="997"/>
      <c r="G1" s="997"/>
      <c r="H1" s="998" t="s">
        <v>298</v>
      </c>
      <c r="Q1" s="922">
        <v>59</v>
      </c>
      <c r="R1" s="922" t="s">
        <v>868</v>
      </c>
    </row>
    <row r="2" spans="1:23" ht="15.2" customHeight="1" x14ac:dyDescent="0.2">
      <c r="N2"/>
      <c r="O2" s="825"/>
      <c r="P2" s="825"/>
      <c r="Q2" s="922">
        <v>65</v>
      </c>
      <c r="R2" s="922" t="s">
        <v>868</v>
      </c>
      <c r="S2" s="924"/>
      <c r="T2" s="825"/>
      <c r="U2" s="825"/>
      <c r="V2" s="825"/>
      <c r="W2" s="924"/>
    </row>
    <row r="3" spans="1:23" ht="44.45" customHeight="1" x14ac:dyDescent="0.2">
      <c r="A3" s="925"/>
      <c r="B3" s="926"/>
      <c r="C3" s="926"/>
      <c r="D3" s="926"/>
      <c r="E3" s="926"/>
      <c r="F3" s="926"/>
      <c r="G3" s="926"/>
      <c r="N3"/>
      <c r="O3" s="927"/>
      <c r="P3" s="927"/>
      <c r="Q3" s="922">
        <v>78</v>
      </c>
      <c r="R3" s="922" t="s">
        <v>272</v>
      </c>
      <c r="S3" s="924"/>
      <c r="T3" s="927"/>
      <c r="U3" s="927"/>
      <c r="V3" s="825"/>
      <c r="W3" s="924"/>
    </row>
    <row r="4" spans="1:23" ht="15.2" customHeight="1" thickBot="1" x14ac:dyDescent="0.25">
      <c r="N4"/>
      <c r="O4" s="825"/>
      <c r="P4" s="825"/>
      <c r="Q4" s="825"/>
      <c r="R4" s="924"/>
      <c r="S4" s="924"/>
      <c r="T4" s="825"/>
      <c r="U4" s="825"/>
      <c r="V4" s="825"/>
      <c r="W4" s="924"/>
    </row>
    <row r="5" spans="1:23" ht="25.5" customHeight="1" thickBot="1" x14ac:dyDescent="0.25">
      <c r="A5" s="999" t="s">
        <v>970</v>
      </c>
      <c r="B5" s="929"/>
      <c r="C5" s="930"/>
      <c r="D5" s="931"/>
      <c r="E5" s="999" t="s">
        <v>971</v>
      </c>
      <c r="F5" s="932"/>
      <c r="G5" s="930"/>
      <c r="H5" s="1000" t="s">
        <v>678</v>
      </c>
      <c r="O5" s="934"/>
      <c r="P5" s="934"/>
      <c r="Q5" s="825"/>
      <c r="R5" s="924"/>
      <c r="S5" s="924"/>
      <c r="T5" s="934"/>
      <c r="U5" s="934"/>
      <c r="V5" s="825"/>
      <c r="W5" s="924"/>
    </row>
    <row r="6" spans="1:23" ht="17.100000000000001" customHeight="1" thickBot="1" x14ac:dyDescent="0.25">
      <c r="A6" s="1001" t="s">
        <v>125</v>
      </c>
      <c r="B6" s="1002" t="s">
        <v>126</v>
      </c>
      <c r="C6" s="1002" t="s">
        <v>241</v>
      </c>
      <c r="D6" s="1003"/>
      <c r="E6" s="1001" t="s">
        <v>125</v>
      </c>
      <c r="F6" s="980" t="s">
        <v>126</v>
      </c>
      <c r="G6" s="1004" t="s">
        <v>241</v>
      </c>
      <c r="H6" s="1544" t="str">
        <f>IF(AND(SUMIF($S:$S,"SQ9",$R:$R)=0,ISBLANK('SICI(2)'!F13),ISBLANK('SICI(2)'!F17)),"OK",IF(AND(ABS(SUMIF($S:$S,"SQ9",$R:$R))&gt;0,ISBLANK('SICI(2)'!F13),ISBLANK('SICI(2)'!F17)),"Attenzione: inserire le voci di costituzione del fondo unicamente in presenza di certificazione dello stesso (cfr. SICI GEN353 o GEN355) !",IF(AND(SUMIF($S:$S,"SQ9",$R:$R)=0,SUM('SICI(2)'!F13,'SICI(2)'!F17)&gt;0),"Attenzione: in presenza di date di certificazione del fondo (cfr. SICI GEN353 o GEN355) è necessario compilare il lato costituzione di T15 !","OK")))</f>
        <v>OK</v>
      </c>
      <c r="I6" s="1005"/>
      <c r="J6" s="1005"/>
      <c r="K6" s="1005"/>
      <c r="L6" s="1005"/>
    </row>
    <row r="7" spans="1:23" ht="17.100000000000001" customHeight="1" x14ac:dyDescent="0.25">
      <c r="A7" s="1006" t="s">
        <v>782</v>
      </c>
      <c r="B7" s="1007"/>
      <c r="C7" s="1008"/>
      <c r="D7" s="1009"/>
      <c r="E7" s="1010" t="str">
        <f>A7</f>
        <v>Fondo progressione orizzontale</v>
      </c>
      <c r="F7" s="1011"/>
      <c r="G7" s="1012"/>
      <c r="H7" s="1546"/>
      <c r="I7" s="1005"/>
      <c r="J7" s="1005"/>
      <c r="O7" s="794" t="s">
        <v>679</v>
      </c>
      <c r="P7" s="946"/>
      <c r="Q7" s="947"/>
      <c r="R7" s="947"/>
      <c r="S7" s="924"/>
      <c r="T7" s="794" t="s">
        <v>680</v>
      </c>
      <c r="U7" s="946"/>
      <c r="V7" s="947"/>
      <c r="W7" s="947"/>
    </row>
    <row r="8" spans="1:23" ht="17.100000000000001" customHeight="1" x14ac:dyDescent="0.2">
      <c r="A8" s="948" t="s">
        <v>681</v>
      </c>
      <c r="B8" s="1013"/>
      <c r="C8" s="1014"/>
      <c r="D8" s="1009"/>
      <c r="E8" s="948" t="s">
        <v>867</v>
      </c>
      <c r="F8" s="1013"/>
      <c r="G8" s="1014"/>
      <c r="H8" s="1546"/>
      <c r="I8" s="1005"/>
      <c r="J8" s="1005"/>
      <c r="O8" s="795" t="s">
        <v>682</v>
      </c>
      <c r="P8" s="795" t="s">
        <v>683</v>
      </c>
      <c r="Q8" s="795" t="s">
        <v>684</v>
      </c>
      <c r="R8" s="795" t="s">
        <v>685</v>
      </c>
      <c r="S8" s="924"/>
      <c r="T8" s="795" t="s">
        <v>682</v>
      </c>
      <c r="U8" s="795" t="s">
        <v>683</v>
      </c>
      <c r="V8" s="795" t="s">
        <v>684</v>
      </c>
      <c r="W8" s="795" t="s">
        <v>685</v>
      </c>
    </row>
    <row r="9" spans="1:23" ht="17.100000000000001" customHeight="1" x14ac:dyDescent="0.2">
      <c r="A9" s="954" t="s">
        <v>1074</v>
      </c>
      <c r="B9" s="1002" t="s">
        <v>783</v>
      </c>
      <c r="C9" s="981">
        <v>886878</v>
      </c>
      <c r="D9" s="1009"/>
      <c r="E9" s="954" t="s">
        <v>800</v>
      </c>
      <c r="F9" s="980" t="s">
        <v>801</v>
      </c>
      <c r="G9" s="981">
        <v>714047</v>
      </c>
      <c r="H9" s="1546"/>
      <c r="I9" s="1005"/>
      <c r="J9" s="1005"/>
      <c r="O9" s="923">
        <v>59</v>
      </c>
      <c r="P9" s="923">
        <v>7</v>
      </c>
      <c r="Q9" s="923" t="str">
        <f>B9</f>
        <v>F07J</v>
      </c>
      <c r="R9" s="923">
        <f>ROUND(C9,0)</f>
        <v>886878</v>
      </c>
      <c r="S9" s="923" t="str">
        <f>VLOOKUP(O9,$Q:$R,2,FALSE)</f>
        <v>SQ9</v>
      </c>
      <c r="T9" s="923">
        <v>59</v>
      </c>
      <c r="U9" s="923">
        <v>61</v>
      </c>
      <c r="V9" s="923" t="str">
        <f>F9</f>
        <v>U03J</v>
      </c>
      <c r="W9" s="1015">
        <f>ROUND(G9,0)</f>
        <v>714047</v>
      </c>
    </row>
    <row r="10" spans="1:23" ht="17.100000000000001" customHeight="1" x14ac:dyDescent="0.2">
      <c r="A10" s="954" t="s">
        <v>931</v>
      </c>
      <c r="B10" s="668" t="s">
        <v>890</v>
      </c>
      <c r="C10" s="981"/>
      <c r="D10" s="1016"/>
      <c r="E10" s="954" t="s">
        <v>802</v>
      </c>
      <c r="F10" s="1002" t="s">
        <v>803</v>
      </c>
      <c r="G10" s="981"/>
      <c r="H10" s="1546"/>
      <c r="I10" s="1005"/>
      <c r="J10" s="1005"/>
      <c r="O10" s="1017">
        <v>59</v>
      </c>
      <c r="P10" s="1017">
        <v>7</v>
      </c>
      <c r="Q10" s="1017" t="str">
        <f>B10</f>
        <v>F00O</v>
      </c>
      <c r="R10" s="1017">
        <f>ROUND(C10,0)</f>
        <v>0</v>
      </c>
      <c r="S10" s="923" t="str">
        <f>VLOOKUP(O10,$Q:$R,2,FALSE)</f>
        <v>SQ9</v>
      </c>
      <c r="T10" s="923">
        <v>59</v>
      </c>
      <c r="U10" s="923">
        <v>61</v>
      </c>
      <c r="V10" s="923" t="str">
        <f>F10</f>
        <v>U03K</v>
      </c>
      <c r="W10" s="1015">
        <f>ROUND(G10,0)</f>
        <v>0</v>
      </c>
    </row>
    <row r="11" spans="1:23" ht="17.100000000000001" customHeight="1" thickBot="1" x14ac:dyDescent="0.25">
      <c r="A11" s="973" t="s">
        <v>414</v>
      </c>
      <c r="B11" s="1018"/>
      <c r="C11" s="975">
        <f>SUM(C9:C10)</f>
        <v>886878</v>
      </c>
      <c r="D11" s="1009"/>
      <c r="E11" s="954" t="s">
        <v>804</v>
      </c>
      <c r="F11" s="1019" t="s">
        <v>765</v>
      </c>
      <c r="G11" s="981">
        <v>67552</v>
      </c>
      <c r="H11" s="1547"/>
      <c r="I11" s="1005"/>
      <c r="J11" s="1005"/>
      <c r="O11" s="923"/>
      <c r="P11" s="923"/>
      <c r="Q11" s="923"/>
      <c r="R11" s="923"/>
      <c r="S11" s="923"/>
      <c r="T11" s="1017">
        <v>59</v>
      </c>
      <c r="U11" s="1017">
        <v>61</v>
      </c>
      <c r="V11" s="1017" t="str">
        <f>F11</f>
        <v>U998</v>
      </c>
      <c r="W11" s="1020">
        <f>ROUND(G11,0)</f>
        <v>67552</v>
      </c>
    </row>
    <row r="12" spans="1:23" ht="17.100000000000001" customHeight="1" thickBot="1" x14ac:dyDescent="0.25">
      <c r="A12" s="1021" t="s">
        <v>618</v>
      </c>
      <c r="B12" s="1022"/>
      <c r="C12" s="1023">
        <f>C11</f>
        <v>886878</v>
      </c>
      <c r="D12" s="1009"/>
      <c r="E12" s="958" t="s">
        <v>870</v>
      </c>
      <c r="F12" s="1024"/>
      <c r="G12" s="1025">
        <f>SUM(G9:G11)</f>
        <v>781599</v>
      </c>
      <c r="H12" s="933" t="s">
        <v>764</v>
      </c>
      <c r="I12" s="1005"/>
      <c r="J12" s="1005"/>
      <c r="O12" s="1026"/>
      <c r="P12" s="1026"/>
      <c r="Q12" s="923"/>
      <c r="R12" s="923"/>
      <c r="S12" s="923"/>
      <c r="T12" s="923"/>
      <c r="U12" s="923"/>
      <c r="V12" s="923"/>
      <c r="W12" s="1015"/>
    </row>
    <row r="13" spans="1:23" ht="17.100000000000001" customHeight="1" thickBot="1" x14ac:dyDescent="0.25">
      <c r="A13" s="1027"/>
      <c r="B13" s="1028"/>
      <c r="C13" s="1029"/>
      <c r="D13" s="1009"/>
      <c r="E13" s="1030" t="s">
        <v>618</v>
      </c>
      <c r="F13" s="1022"/>
      <c r="G13" s="1031">
        <f>G12</f>
        <v>781599</v>
      </c>
      <c r="H13" s="1544" t="str">
        <f>IF(LEN(H16&amp;H17&amp;H18&amp;H19&amp;H20&amp;H21)&gt;0,"Attenzione, le seguenti voci creano incongruenza perché magg. del 10% del totale:","OK")</f>
        <v>OK</v>
      </c>
      <c r="I13" s="1005"/>
      <c r="J13" s="1005"/>
      <c r="O13" s="1026"/>
      <c r="P13" s="1026"/>
      <c r="Q13" s="923"/>
      <c r="R13" s="923"/>
      <c r="S13" s="923"/>
      <c r="T13" s="1032"/>
      <c r="U13" s="1032"/>
      <c r="V13" s="923"/>
    </row>
    <row r="14" spans="1:23" ht="17.100000000000001" customHeight="1" x14ac:dyDescent="0.25">
      <c r="A14" s="1010" t="s">
        <v>805</v>
      </c>
      <c r="B14" s="1011"/>
      <c r="C14" s="1012"/>
      <c r="D14" s="1009"/>
      <c r="E14" s="1010" t="str">
        <f>A14</f>
        <v>Fondo Unico Aziendale o di ambito (FUA)</v>
      </c>
      <c r="F14" s="1011"/>
      <c r="G14" s="1012"/>
      <c r="H14" s="1548"/>
      <c r="I14" s="1005"/>
      <c r="J14" s="1005"/>
      <c r="O14" s="1026"/>
      <c r="P14" s="1026"/>
      <c r="Q14" s="923"/>
      <c r="R14" s="923"/>
      <c r="S14" s="923"/>
      <c r="T14" s="1032"/>
      <c r="U14" s="1032"/>
      <c r="V14" s="923"/>
    </row>
    <row r="15" spans="1:23" ht="17.100000000000001" customHeight="1" x14ac:dyDescent="0.2">
      <c r="A15" s="948" t="s">
        <v>681</v>
      </c>
      <c r="B15" s="1013"/>
      <c r="C15" s="1014"/>
      <c r="D15" s="1009"/>
      <c r="E15" s="948" t="s">
        <v>867</v>
      </c>
      <c r="F15" s="1013"/>
      <c r="G15" s="1014"/>
      <c r="H15" s="1033"/>
      <c r="I15" s="1005"/>
      <c r="J15" s="1005"/>
      <c r="O15" s="1026"/>
      <c r="P15" s="1026"/>
      <c r="Q15" s="923"/>
      <c r="R15" s="923"/>
      <c r="S15" s="923"/>
      <c r="T15" s="1034"/>
      <c r="U15" s="1034"/>
      <c r="V15" s="923"/>
    </row>
    <row r="16" spans="1:23" ht="17.100000000000001" customHeight="1" x14ac:dyDescent="0.2">
      <c r="A16" s="954" t="s">
        <v>1092</v>
      </c>
      <c r="B16" s="1002" t="s">
        <v>786</v>
      </c>
      <c r="C16" s="981">
        <v>5087205</v>
      </c>
      <c r="D16" s="1016"/>
      <c r="E16" s="954" t="s">
        <v>806</v>
      </c>
      <c r="F16" s="980" t="s">
        <v>807</v>
      </c>
      <c r="G16" s="981">
        <v>4592253</v>
      </c>
      <c r="H16" s="1035" t="str">
        <f>IF(C12&lt;&gt;0,IF(R10/ABS(C$12)&gt;0.1,"Fondo progressione orizzontale - Altre risorse fisse - F00O",""),"")</f>
        <v/>
      </c>
      <c r="I16" s="1005"/>
      <c r="J16" s="1005"/>
      <c r="O16" s="923">
        <v>65</v>
      </c>
      <c r="P16" s="923">
        <v>7</v>
      </c>
      <c r="Q16" s="923" t="str">
        <f>B16</f>
        <v>F07L</v>
      </c>
      <c r="R16" s="923">
        <f>ROUND(C16,0)</f>
        <v>5087205</v>
      </c>
      <c r="S16" s="923" t="str">
        <f>VLOOKUP(O16,$Q:$R,2,FALSE)</f>
        <v>SQ9</v>
      </c>
      <c r="T16" s="923">
        <v>65</v>
      </c>
      <c r="U16" s="923">
        <v>61</v>
      </c>
      <c r="V16" s="923" t="str">
        <f>F16</f>
        <v>U03L</v>
      </c>
      <c r="W16" s="1015">
        <f>ROUND(G16,0)</f>
        <v>4592253</v>
      </c>
    </row>
    <row r="17" spans="1:23" ht="17.100000000000001" customHeight="1" x14ac:dyDescent="0.2">
      <c r="A17" s="954" t="s">
        <v>1093</v>
      </c>
      <c r="B17" s="1002" t="s">
        <v>787</v>
      </c>
      <c r="C17" s="981"/>
      <c r="D17" s="1009"/>
      <c r="E17" s="954" t="s">
        <v>873</v>
      </c>
      <c r="F17" s="980" t="s">
        <v>893</v>
      </c>
      <c r="G17" s="981"/>
      <c r="H17" s="1035" t="str">
        <f>IF(C34&lt;&gt;0,IF(R19/ABS(C$34)&gt;0.1,"FUA - Altre risorse fisse - F00O",""),"")</f>
        <v/>
      </c>
      <c r="I17" s="1005"/>
      <c r="J17" s="1005"/>
      <c r="O17" s="923">
        <v>65</v>
      </c>
      <c r="P17" s="923">
        <v>7</v>
      </c>
      <c r="Q17" s="923" t="str">
        <f>B17</f>
        <v>F07M</v>
      </c>
      <c r="R17" s="923">
        <f>ROUND(C17,0)</f>
        <v>0</v>
      </c>
      <c r="S17" s="923" t="str">
        <f>VLOOKUP(O17,$Q:$R,2,FALSE)</f>
        <v>SQ9</v>
      </c>
      <c r="T17" s="923">
        <v>65</v>
      </c>
      <c r="U17" s="923">
        <v>61</v>
      </c>
      <c r="V17" s="923" t="str">
        <f t="shared" ref="V17:V21" si="0">F17</f>
        <v>U06M</v>
      </c>
      <c r="W17" s="1015">
        <f t="shared" ref="W17:W23" si="1">ROUND(G17,0)</f>
        <v>0</v>
      </c>
    </row>
    <row r="18" spans="1:23" ht="17.100000000000001" customHeight="1" x14ac:dyDescent="0.2">
      <c r="A18" s="954" t="s">
        <v>784</v>
      </c>
      <c r="B18" s="1002" t="s">
        <v>785</v>
      </c>
      <c r="C18" s="981"/>
      <c r="D18" s="1009"/>
      <c r="E18" s="954" t="s">
        <v>874</v>
      </c>
      <c r="F18" s="980" t="s">
        <v>808</v>
      </c>
      <c r="G18" s="981">
        <v>361127</v>
      </c>
      <c r="H18" s="1035" t="str">
        <f>IF(C34&lt;&gt;0,IF(R27/ABS(C$34)&gt;0.1,"FUA - Altre risorse variabili - F00O",""),"")</f>
        <v/>
      </c>
      <c r="I18" s="1005"/>
      <c r="J18" s="1005"/>
      <c r="O18" s="923">
        <v>65</v>
      </c>
      <c r="P18" s="923">
        <v>7</v>
      </c>
      <c r="Q18" s="923" t="str">
        <f>B18</f>
        <v>F07K</v>
      </c>
      <c r="R18" s="923">
        <f>ROUND(C18,0)</f>
        <v>0</v>
      </c>
      <c r="S18" s="923" t="str">
        <f>VLOOKUP(O18,$Q:$R,2,FALSE)</f>
        <v>SQ9</v>
      </c>
      <c r="T18" s="923">
        <v>65</v>
      </c>
      <c r="U18" s="923">
        <v>61</v>
      </c>
      <c r="V18" s="923" t="str">
        <f t="shared" si="0"/>
        <v>U03M</v>
      </c>
      <c r="W18" s="1015">
        <f t="shared" si="1"/>
        <v>361127</v>
      </c>
    </row>
    <row r="19" spans="1:23" ht="17.100000000000001" customHeight="1" x14ac:dyDescent="0.2">
      <c r="A19" s="954" t="s">
        <v>931</v>
      </c>
      <c r="B19" s="668" t="s">
        <v>890</v>
      </c>
      <c r="C19" s="981"/>
      <c r="D19" s="1009"/>
      <c r="E19" s="954" t="s">
        <v>809</v>
      </c>
      <c r="F19" s="980" t="s">
        <v>810</v>
      </c>
      <c r="G19" s="981"/>
      <c r="H19" s="1035" t="str">
        <f>IF(C34&lt;&gt;0,IF(R32/ABS(C$34)&gt;0.1,"FUA - Altre decurtazioni - F01P",""),"")</f>
        <v/>
      </c>
      <c r="I19" s="1005"/>
      <c r="J19" s="1005"/>
      <c r="O19" s="1017">
        <v>65</v>
      </c>
      <c r="P19" s="1017">
        <v>7</v>
      </c>
      <c r="Q19" s="1017" t="str">
        <f>B19</f>
        <v>F00O</v>
      </c>
      <c r="R19" s="1017">
        <f>ROUND(C19,0)</f>
        <v>0</v>
      </c>
      <c r="S19" s="923" t="str">
        <f>VLOOKUP(O19,$Q:$R,2,FALSE)</f>
        <v>SQ9</v>
      </c>
      <c r="T19" s="923">
        <v>65</v>
      </c>
      <c r="U19" s="923">
        <v>61</v>
      </c>
      <c r="V19" s="923" t="str">
        <f t="shared" si="0"/>
        <v>U03N</v>
      </c>
      <c r="W19" s="1015">
        <f t="shared" si="1"/>
        <v>0</v>
      </c>
    </row>
    <row r="20" spans="1:23" ht="17.100000000000001" customHeight="1" thickBot="1" x14ac:dyDescent="0.25">
      <c r="A20" s="973" t="s">
        <v>414</v>
      </c>
      <c r="B20" s="1018"/>
      <c r="C20" s="975">
        <f>SUM(C16:C19)</f>
        <v>5087205</v>
      </c>
      <c r="D20" s="1009"/>
      <c r="E20" s="954" t="s">
        <v>811</v>
      </c>
      <c r="F20" s="980" t="s">
        <v>812</v>
      </c>
      <c r="G20" s="981">
        <v>212706</v>
      </c>
      <c r="H20" s="1035" t="str">
        <f>IF(G13&lt;&gt;0,IF(W11/ABS(G13)&gt;0.1,"Fondo progressione orizzontale - Altre destinazioni - U998",""),"")</f>
        <v/>
      </c>
      <c r="I20" s="1005"/>
      <c r="J20" s="1005"/>
      <c r="O20" s="923"/>
      <c r="P20" s="923"/>
      <c r="Q20" s="923"/>
      <c r="R20" s="923"/>
      <c r="S20" s="923"/>
      <c r="T20" s="923">
        <v>65</v>
      </c>
      <c r="U20" s="923">
        <v>61</v>
      </c>
      <c r="V20" s="923" t="str">
        <f t="shared" si="0"/>
        <v>U03O</v>
      </c>
      <c r="W20" s="1015">
        <f t="shared" si="1"/>
        <v>212706</v>
      </c>
    </row>
    <row r="21" spans="1:23" ht="17.100000000000001" customHeight="1" x14ac:dyDescent="0.2">
      <c r="A21" s="977" t="s">
        <v>415</v>
      </c>
      <c r="B21" s="978"/>
      <c r="C21" s="979"/>
      <c r="D21" s="1009"/>
      <c r="E21" s="954" t="s">
        <v>813</v>
      </c>
      <c r="F21" s="980" t="s">
        <v>814</v>
      </c>
      <c r="G21" s="981"/>
      <c r="H21" s="1035" t="str">
        <f>IF(G26&lt;&gt;0,IF(W24/ABS(G26)&gt;0.1,"FUA - Altre destinazioni - U998",""),"")</f>
        <v/>
      </c>
      <c r="I21" s="1005"/>
      <c r="J21" s="1005"/>
      <c r="O21" s="923"/>
      <c r="P21" s="923"/>
      <c r="Q21" s="923"/>
      <c r="R21" s="923"/>
      <c r="S21" s="923"/>
      <c r="T21" s="923">
        <v>65</v>
      </c>
      <c r="U21" s="923">
        <v>61</v>
      </c>
      <c r="V21" s="923" t="str">
        <f t="shared" si="0"/>
        <v>U03P</v>
      </c>
      <c r="W21" s="1015">
        <f t="shared" si="1"/>
        <v>0</v>
      </c>
    </row>
    <row r="22" spans="1:23" ht="17.100000000000001" customHeight="1" thickBot="1" x14ac:dyDescent="0.25">
      <c r="A22" s="954" t="s">
        <v>788</v>
      </c>
      <c r="B22" s="1002" t="s">
        <v>789</v>
      </c>
      <c r="C22" s="981"/>
      <c r="D22" s="1009"/>
      <c r="E22" s="954" t="s">
        <v>1075</v>
      </c>
      <c r="F22" s="980" t="s">
        <v>1064</v>
      </c>
      <c r="G22" s="981">
        <v>19000</v>
      </c>
      <c r="H22" s="1036"/>
      <c r="I22" s="1005"/>
      <c r="J22" s="1005"/>
      <c r="O22" s="923">
        <v>65</v>
      </c>
      <c r="P22" s="923">
        <v>9</v>
      </c>
      <c r="Q22" s="923" t="str">
        <f t="shared" ref="Q22:Q27" si="2">B22</f>
        <v>F07N</v>
      </c>
      <c r="R22" s="923">
        <f t="shared" ref="R22:R27" si="3">ROUND(C22,0)</f>
        <v>0</v>
      </c>
      <c r="S22" s="923" t="str">
        <f t="shared" ref="S22:S27" si="4">VLOOKUP(O22,$Q:$R,2,FALSE)</f>
        <v>SQ9</v>
      </c>
      <c r="T22" s="923">
        <v>65</v>
      </c>
      <c r="U22" s="923">
        <v>61</v>
      </c>
      <c r="V22" s="923" t="str">
        <f>F22</f>
        <v>U07W</v>
      </c>
      <c r="W22" s="1015">
        <f t="shared" si="1"/>
        <v>19000</v>
      </c>
    </row>
    <row r="23" spans="1:23" ht="17.100000000000001" customHeight="1" thickBot="1" x14ac:dyDescent="0.25">
      <c r="A23" s="954" t="s">
        <v>790</v>
      </c>
      <c r="B23" s="980" t="s">
        <v>791</v>
      </c>
      <c r="C23" s="981"/>
      <c r="D23" s="1009"/>
      <c r="E23" s="954" t="s">
        <v>815</v>
      </c>
      <c r="F23" s="980" t="s">
        <v>816</v>
      </c>
      <c r="G23" s="981"/>
      <c r="H23" s="933" t="s">
        <v>973</v>
      </c>
      <c r="I23" s="1005"/>
      <c r="J23" s="1005"/>
      <c r="O23" s="923">
        <v>65</v>
      </c>
      <c r="P23" s="923">
        <v>9</v>
      </c>
      <c r="Q23" s="923" t="str">
        <f t="shared" si="2"/>
        <v>F07O</v>
      </c>
      <c r="R23" s="923">
        <f t="shared" si="3"/>
        <v>0</v>
      </c>
      <c r="S23" s="923" t="str">
        <f t="shared" si="4"/>
        <v>SQ9</v>
      </c>
      <c r="T23" s="923">
        <v>65</v>
      </c>
      <c r="U23" s="923">
        <v>61</v>
      </c>
      <c r="V23" s="923" t="str">
        <f>F23</f>
        <v>U03Q</v>
      </c>
      <c r="W23" s="1015">
        <f t="shared" si="1"/>
        <v>0</v>
      </c>
    </row>
    <row r="24" spans="1:23" ht="17.100000000000001" customHeight="1" x14ac:dyDescent="0.2">
      <c r="A24" s="954" t="s">
        <v>792</v>
      </c>
      <c r="B24" s="980" t="s">
        <v>793</v>
      </c>
      <c r="C24" s="981"/>
      <c r="D24" s="1009"/>
      <c r="E24" s="954" t="s">
        <v>804</v>
      </c>
      <c r="F24" s="1019" t="s">
        <v>765</v>
      </c>
      <c r="G24" s="981"/>
      <c r="H24" s="1544" t="str">
        <f>IF(LEN(H27&amp;H28&amp;H29)&gt;0,"Attenzione, nelle seguenti sezioni le destinazioni risultano superiori alle relative risorse e generano pertanto squadratura 8:","OK")</f>
        <v>OK</v>
      </c>
      <c r="I24" s="1005"/>
      <c r="J24" s="1005"/>
      <c r="O24" s="923">
        <v>65</v>
      </c>
      <c r="P24" s="923">
        <v>9</v>
      </c>
      <c r="Q24" s="923" t="str">
        <f t="shared" si="2"/>
        <v>F07P</v>
      </c>
      <c r="R24" s="923">
        <f t="shared" si="3"/>
        <v>0</v>
      </c>
      <c r="S24" s="923" t="str">
        <f t="shared" si="4"/>
        <v>SQ9</v>
      </c>
      <c r="T24" s="1017">
        <v>65</v>
      </c>
      <c r="U24" s="1017">
        <v>61</v>
      </c>
      <c r="V24" s="1017" t="str">
        <f>F24</f>
        <v>U998</v>
      </c>
      <c r="W24" s="1020">
        <f>ROUND(G24,0)</f>
        <v>0</v>
      </c>
    </row>
    <row r="25" spans="1:23" ht="17.100000000000001" customHeight="1" thickBot="1" x14ac:dyDescent="0.25">
      <c r="A25" s="954" t="s">
        <v>875</v>
      </c>
      <c r="B25" s="980" t="s">
        <v>894</v>
      </c>
      <c r="C25" s="981"/>
      <c r="D25" s="1009"/>
      <c r="E25" s="958" t="s">
        <v>870</v>
      </c>
      <c r="F25" s="1018"/>
      <c r="G25" s="975">
        <f>SUM(G16:G24)</f>
        <v>5185086</v>
      </c>
      <c r="H25" s="1545"/>
      <c r="I25" s="1005"/>
      <c r="J25" s="1005"/>
      <c r="O25" s="923">
        <v>65</v>
      </c>
      <c r="P25" s="923">
        <v>9</v>
      </c>
      <c r="Q25" s="923" t="str">
        <f t="shared" si="2"/>
        <v>F17K</v>
      </c>
      <c r="R25" s="923">
        <f t="shared" si="3"/>
        <v>0</v>
      </c>
      <c r="S25" s="923" t="str">
        <f t="shared" si="4"/>
        <v>SQ9</v>
      </c>
      <c r="T25" s="923"/>
      <c r="U25" s="923"/>
      <c r="V25" s="923"/>
      <c r="W25" s="1015"/>
    </row>
    <row r="26" spans="1:23" ht="17.100000000000001" customHeight="1" thickBot="1" x14ac:dyDescent="0.25">
      <c r="A26" s="954" t="s">
        <v>794</v>
      </c>
      <c r="B26" s="980" t="s">
        <v>795</v>
      </c>
      <c r="C26" s="981">
        <v>97881</v>
      </c>
      <c r="D26" s="1016"/>
      <c r="E26" s="1030" t="s">
        <v>818</v>
      </c>
      <c r="F26" s="1037"/>
      <c r="G26" s="1038">
        <f>G25</f>
        <v>5185086</v>
      </c>
      <c r="H26" s="1545"/>
      <c r="I26" s="1005"/>
      <c r="J26" s="1005"/>
      <c r="O26" s="923">
        <v>65</v>
      </c>
      <c r="P26" s="923">
        <v>9</v>
      </c>
      <c r="Q26" s="923" t="str">
        <f t="shared" si="2"/>
        <v>F07Q</v>
      </c>
      <c r="R26" s="923">
        <f t="shared" si="3"/>
        <v>97881</v>
      </c>
      <c r="S26" s="923" t="str">
        <f t="shared" si="4"/>
        <v>SQ9</v>
      </c>
      <c r="T26" s="923"/>
      <c r="U26" s="923"/>
      <c r="V26" s="923"/>
      <c r="W26" s="1015"/>
    </row>
    <row r="27" spans="1:23" ht="17.100000000000001" customHeight="1" x14ac:dyDescent="0.2">
      <c r="A27" s="954" t="s">
        <v>931</v>
      </c>
      <c r="B27" s="668" t="s">
        <v>890</v>
      </c>
      <c r="C27" s="981"/>
      <c r="D27" s="1009"/>
      <c r="E27" s="1039"/>
      <c r="F27" s="1040"/>
      <c r="G27" s="1029"/>
      <c r="H27" s="982" t="str">
        <f>IF(AND(SUMIF($O:$O,$Q1,$R:$R)&lt;&gt;0,SUM('SICI(2)'!$F$13,'SICI(2)'!$F$17)&gt;0),IF(SUMIFS($R:$R,$P:$P,"&lt;&gt;81",$O:$O,$Q1)-SUMIFS($R:$R,$P:$P,"81",$O:$O,$Q1)-SUMIF($T:$T,$Q1,$W:$W)&lt;0,A7,""),"")</f>
        <v/>
      </c>
      <c r="I27" s="1005"/>
      <c r="J27" s="1005"/>
      <c r="O27" s="1017">
        <v>65</v>
      </c>
      <c r="P27" s="1017">
        <v>9</v>
      </c>
      <c r="Q27" s="1017" t="str">
        <f t="shared" si="2"/>
        <v>F00O</v>
      </c>
      <c r="R27" s="1017">
        <f t="shared" si="3"/>
        <v>0</v>
      </c>
      <c r="S27" s="923" t="str">
        <f t="shared" si="4"/>
        <v>SQ9</v>
      </c>
      <c r="U27" s="923"/>
      <c r="V27" s="923"/>
    </row>
    <row r="28" spans="1:23" ht="17.100000000000001" customHeight="1" thickBot="1" x14ac:dyDescent="0.25">
      <c r="A28" s="1044" t="s">
        <v>416</v>
      </c>
      <c r="B28" s="1045"/>
      <c r="C28" s="1046">
        <f>SUM(C22:C27)</f>
        <v>97881</v>
      </c>
      <c r="D28" s="1009"/>
      <c r="E28" s="1041"/>
      <c r="F28" s="1042"/>
      <c r="G28" s="1043"/>
      <c r="H28" s="982" t="str">
        <f>IF(AND(SUMIF($O:$O,$Q2,$R:$R)&lt;&gt;0,SUM('SICI(2)'!$F$13,'SICI(2)'!$F$17)&gt;0),IF(SUMIFS($R:$R,$P:$P,"&lt;&gt;81",$O:$O,$Q2)-SUMIFS($R:$R,$P:$P,"81",$O:$O,$Q2)-SUMIF($T:$T,$Q2,$W:$W)&lt;0,A14,""),"")</f>
        <v/>
      </c>
      <c r="I28" s="1005"/>
      <c r="J28" s="1005"/>
      <c r="O28" s="923"/>
      <c r="P28" s="923"/>
      <c r="Q28" s="923"/>
      <c r="R28" s="1015"/>
      <c r="S28" s="923"/>
      <c r="T28" s="923"/>
      <c r="U28" s="923"/>
      <c r="V28" s="923"/>
    </row>
    <row r="29" spans="1:23" ht="17.100000000000001" customHeight="1" thickBot="1" x14ac:dyDescent="0.25">
      <c r="A29" s="977" t="s">
        <v>759</v>
      </c>
      <c r="B29" s="978"/>
      <c r="C29" s="979"/>
      <c r="D29" s="1047"/>
      <c r="E29" s="1041"/>
      <c r="F29" s="1042"/>
      <c r="G29" s="1043"/>
      <c r="H29" s="1048" t="str">
        <f>IF(SUMIFS($R:$R,$P:$P,"&lt;&gt;81",$O:$O,$Q3)-SUMIFS($R:$R,$P:$P,"81",$O:$O,$Q3)-SUMIF($T:$T,$Q$3,$W:$W)&lt;0,$A$35,"")</f>
        <v/>
      </c>
      <c r="I29" s="1005"/>
      <c r="J29" s="1005"/>
      <c r="O29" s="923"/>
      <c r="P29" s="923"/>
      <c r="Q29" s="923"/>
      <c r="R29" s="1015"/>
      <c r="S29" s="923"/>
    </row>
    <row r="30" spans="1:23" ht="17.100000000000001" customHeight="1" x14ac:dyDescent="0.2">
      <c r="A30" s="954" t="s">
        <v>796</v>
      </c>
      <c r="B30" s="1002" t="s">
        <v>797</v>
      </c>
      <c r="C30" s="981"/>
      <c r="D30" s="1047"/>
      <c r="E30" s="1041"/>
      <c r="F30" s="1042"/>
      <c r="G30" s="1043"/>
      <c r="H30" s="1005"/>
      <c r="I30" s="1005"/>
      <c r="J30" s="1005"/>
      <c r="O30" s="923">
        <v>65</v>
      </c>
      <c r="P30" s="923">
        <v>81</v>
      </c>
      <c r="Q30" s="923" t="str">
        <f>B30</f>
        <v>F07R</v>
      </c>
      <c r="R30" s="923">
        <f>ROUND(C30,0)</f>
        <v>0</v>
      </c>
      <c r="S30" s="923" t="str">
        <f>VLOOKUP(O30,$Q:$R,2,FALSE)</f>
        <v>SQ9</v>
      </c>
    </row>
    <row r="31" spans="1:23" ht="17.100000000000001" customHeight="1" x14ac:dyDescent="0.2">
      <c r="A31" s="954" t="s">
        <v>798</v>
      </c>
      <c r="B31" s="1002" t="s">
        <v>799</v>
      </c>
      <c r="C31" s="981"/>
      <c r="D31" s="1047"/>
      <c r="E31" s="1041"/>
      <c r="F31" s="1042"/>
      <c r="G31" s="1043"/>
      <c r="I31" s="1005"/>
      <c r="J31" s="1005"/>
      <c r="O31" s="923">
        <v>65</v>
      </c>
      <c r="P31" s="923">
        <v>81</v>
      </c>
      <c r="Q31" s="923" t="str">
        <f>B31</f>
        <v>F01S</v>
      </c>
      <c r="R31" s="923">
        <f>ROUND(C31,0)</f>
        <v>0</v>
      </c>
      <c r="S31" s="923" t="str">
        <f>VLOOKUP(O31,$Q:$R,2,FALSE)</f>
        <v>SQ9</v>
      </c>
      <c r="U31" s="923"/>
      <c r="V31" s="923"/>
    </row>
    <row r="32" spans="1:23" ht="17.100000000000001" customHeight="1" x14ac:dyDescent="0.2">
      <c r="A32" s="954" t="s">
        <v>932</v>
      </c>
      <c r="B32" s="980" t="s">
        <v>760</v>
      </c>
      <c r="C32" s="981"/>
      <c r="D32" s="1047"/>
      <c r="E32" s="1041"/>
      <c r="F32" s="1042"/>
      <c r="G32" s="1043"/>
      <c r="I32" s="1005"/>
      <c r="J32" s="1005"/>
      <c r="O32" s="1017">
        <v>65</v>
      </c>
      <c r="P32" s="1017">
        <v>81</v>
      </c>
      <c r="Q32" s="1017" t="str">
        <f>B32</f>
        <v>F01P</v>
      </c>
      <c r="R32" s="1017">
        <f>ROUND(C32,0)</f>
        <v>0</v>
      </c>
      <c r="S32" s="923" t="str">
        <f>VLOOKUP(O32,$Q:$R,2,FALSE)</f>
        <v>SQ9</v>
      </c>
      <c r="T32" s="923"/>
      <c r="U32" s="923"/>
      <c r="V32" s="923"/>
    </row>
    <row r="33" spans="1:23" ht="17.100000000000001" customHeight="1" thickBot="1" x14ac:dyDescent="0.25">
      <c r="A33" s="973" t="s">
        <v>761</v>
      </c>
      <c r="B33" s="1018"/>
      <c r="C33" s="975">
        <f>SUM(C30:C32)</f>
        <v>0</v>
      </c>
      <c r="D33" s="1049"/>
      <c r="E33" s="1041"/>
      <c r="F33" s="1042"/>
      <c r="G33" s="1043"/>
      <c r="I33" s="1005"/>
      <c r="J33" s="1005"/>
      <c r="P33" s="923"/>
      <c r="Q33" s="923"/>
      <c r="R33" s="1015"/>
      <c r="S33" s="923"/>
      <c r="T33" s="923"/>
      <c r="U33" s="923"/>
      <c r="V33" s="923"/>
    </row>
    <row r="34" spans="1:23" ht="17.100000000000001" customHeight="1" thickBot="1" x14ac:dyDescent="0.25">
      <c r="A34" s="1021" t="s">
        <v>817</v>
      </c>
      <c r="B34" s="1050"/>
      <c r="C34" s="1051">
        <f>C20+C28-C33</f>
        <v>5185086</v>
      </c>
      <c r="D34" s="1009"/>
      <c r="E34" s="1052"/>
      <c r="F34" s="1053"/>
      <c r="G34" s="1054"/>
      <c r="I34" s="1005"/>
      <c r="J34" s="1005"/>
      <c r="O34" s="923"/>
      <c r="P34" s="923"/>
      <c r="Q34" s="923"/>
      <c r="R34" s="1015"/>
      <c r="S34" s="923"/>
      <c r="T34" s="923"/>
      <c r="U34" s="923"/>
      <c r="V34" s="923"/>
    </row>
    <row r="35" spans="1:23" ht="17.100000000000001" customHeight="1" x14ac:dyDescent="0.25">
      <c r="A35" s="1010" t="s">
        <v>895</v>
      </c>
      <c r="B35" s="1011"/>
      <c r="C35" s="1012"/>
      <c r="D35" s="1009"/>
      <c r="E35" s="1010" t="str">
        <f>A35</f>
        <v>Straordinario (bilancio)</v>
      </c>
      <c r="F35" s="1011"/>
      <c r="G35" s="1012"/>
      <c r="I35" s="1005"/>
      <c r="J35" s="1005"/>
      <c r="O35" s="923"/>
      <c r="P35" s="923"/>
      <c r="Q35" s="923"/>
      <c r="R35" s="1015"/>
      <c r="S35" s="923"/>
      <c r="T35" s="923"/>
      <c r="U35" s="923"/>
      <c r="V35" s="923"/>
    </row>
    <row r="36" spans="1:23" ht="17.100000000000001" customHeight="1" x14ac:dyDescent="0.2">
      <c r="A36" s="948" t="s">
        <v>879</v>
      </c>
      <c r="B36" s="1055"/>
      <c r="C36" s="1056"/>
      <c r="D36" s="1009"/>
      <c r="E36" s="948" t="s">
        <v>867</v>
      </c>
      <c r="F36" s="1055"/>
      <c r="G36" s="1056"/>
      <c r="I36" s="1005"/>
      <c r="J36" s="1005"/>
      <c r="O36" s="923"/>
      <c r="P36" s="923"/>
      <c r="Q36" s="923"/>
      <c r="R36" s="1015"/>
      <c r="S36" s="923"/>
      <c r="T36" s="923"/>
      <c r="U36" s="923"/>
      <c r="V36" s="923"/>
    </row>
    <row r="37" spans="1:23" ht="17.100000000000001" customHeight="1" x14ac:dyDescent="0.2">
      <c r="A37" s="954" t="s">
        <v>880</v>
      </c>
      <c r="B37" s="1002" t="s">
        <v>891</v>
      </c>
      <c r="C37" s="981">
        <v>1334843</v>
      </c>
      <c r="D37" s="1009"/>
      <c r="E37" s="954" t="s">
        <v>876</v>
      </c>
      <c r="F37" s="1002" t="s">
        <v>887</v>
      </c>
      <c r="G37" s="981">
        <v>1136985</v>
      </c>
      <c r="I37" s="1005"/>
      <c r="J37" s="1005"/>
      <c r="O37" s="923">
        <v>78</v>
      </c>
      <c r="P37" s="923">
        <v>2</v>
      </c>
      <c r="Q37" s="923" t="str">
        <f>B37</f>
        <v>F01O</v>
      </c>
      <c r="R37" s="923">
        <f>ROUND(C37,0)</f>
        <v>1334843</v>
      </c>
      <c r="S37" s="923" t="str">
        <f>VLOOKUP(O37,$Q:$R,2,FALSE)</f>
        <v>NO</v>
      </c>
      <c r="T37" s="923">
        <v>78</v>
      </c>
      <c r="U37" s="923">
        <v>61</v>
      </c>
      <c r="V37" s="923" t="str">
        <f>F37</f>
        <v>U06K</v>
      </c>
      <c r="W37" s="1015">
        <f>ROUND(G37,0)</f>
        <v>1136985</v>
      </c>
    </row>
    <row r="38" spans="1:23" ht="17.100000000000001" customHeight="1" x14ac:dyDescent="0.2">
      <c r="A38" s="954" t="s">
        <v>881</v>
      </c>
      <c r="B38" s="1002" t="s">
        <v>892</v>
      </c>
      <c r="C38" s="981"/>
      <c r="D38" s="1009"/>
      <c r="E38" s="954" t="s">
        <v>877</v>
      </c>
      <c r="F38" s="1002" t="s">
        <v>888</v>
      </c>
      <c r="G38" s="981"/>
      <c r="I38" s="1005"/>
      <c r="J38" s="1005"/>
      <c r="O38" s="923">
        <v>78</v>
      </c>
      <c r="P38" s="923">
        <v>2</v>
      </c>
      <c r="Q38" s="923" t="str">
        <f>B38</f>
        <v>F17J</v>
      </c>
      <c r="R38" s="923">
        <f>ROUND(C38,0)</f>
        <v>0</v>
      </c>
      <c r="S38" s="923" t="str">
        <f>VLOOKUP(O38,$Q:$R,2,FALSE)</f>
        <v>NO</v>
      </c>
      <c r="T38" s="923">
        <v>78</v>
      </c>
      <c r="U38" s="923">
        <v>61</v>
      </c>
      <c r="V38" s="923" t="str">
        <f>F38</f>
        <v>U06L</v>
      </c>
      <c r="W38" s="1015">
        <f>ROUND(G38,0)</f>
        <v>0</v>
      </c>
    </row>
    <row r="39" spans="1:23" ht="17.100000000000001" customHeight="1" thickBot="1" x14ac:dyDescent="0.25">
      <c r="A39" s="1057" t="s">
        <v>878</v>
      </c>
      <c r="B39" s="1058"/>
      <c r="C39" s="1059">
        <f>C37+C38</f>
        <v>1334843</v>
      </c>
      <c r="D39" s="1009"/>
      <c r="E39" s="958" t="s">
        <v>870</v>
      </c>
      <c r="F39" s="1018"/>
      <c r="G39" s="975">
        <f>SUM(G37:G38)</f>
        <v>1136985</v>
      </c>
      <c r="I39" s="1005"/>
      <c r="J39" s="1005"/>
      <c r="O39" s="923" t="s">
        <v>551</v>
      </c>
      <c r="P39" s="923"/>
      <c r="Q39" s="923"/>
      <c r="R39" s="1015"/>
      <c r="S39" s="923"/>
      <c r="T39" s="923" t="s">
        <v>551</v>
      </c>
    </row>
    <row r="40" spans="1:23" ht="17.100000000000001" customHeight="1" thickBot="1" x14ac:dyDescent="0.25">
      <c r="A40" s="1340"/>
      <c r="B40" s="1341"/>
      <c r="C40" s="1031"/>
      <c r="D40" s="1009"/>
      <c r="E40" s="1057" t="s">
        <v>878</v>
      </c>
      <c r="F40" s="1058"/>
      <c r="G40" s="1059">
        <f>G39</f>
        <v>1136985</v>
      </c>
      <c r="I40" s="1005"/>
      <c r="J40" s="1005"/>
      <c r="O40" s="923"/>
      <c r="P40" s="923"/>
      <c r="Q40" s="923"/>
      <c r="R40" s="1015"/>
      <c r="S40" s="923"/>
    </row>
    <row r="41" spans="1:23" ht="15" customHeight="1" thickBot="1" x14ac:dyDescent="0.25">
      <c r="A41" s="993" t="s">
        <v>762</v>
      </c>
      <c r="B41" s="1060"/>
      <c r="C41" s="1061">
        <f>C34+C12+C39</f>
        <v>7406807</v>
      </c>
      <c r="D41" s="1009"/>
      <c r="E41" s="993" t="s">
        <v>763</v>
      </c>
      <c r="F41" s="1062"/>
      <c r="G41" s="1061">
        <f>G13+G26+G40</f>
        <v>7103670</v>
      </c>
      <c r="O41" s="923"/>
      <c r="P41" s="923"/>
      <c r="Q41" s="923"/>
      <c r="R41" s="1015"/>
    </row>
    <row r="42" spans="1:23" ht="5.0999999999999996" customHeight="1" x14ac:dyDescent="0.2">
      <c r="E42" s="1063"/>
      <c r="F42" s="1063"/>
      <c r="G42" s="1063"/>
    </row>
    <row r="43" spans="1:23" ht="15" customHeight="1" x14ac:dyDescent="0.2">
      <c r="A43" s="824" t="s">
        <v>976</v>
      </c>
    </row>
    <row r="44" spans="1:23" ht="12" customHeight="1" x14ac:dyDescent="0.2">
      <c r="A44" s="824" t="s">
        <v>1076</v>
      </c>
      <c r="D44" s="1064"/>
    </row>
    <row r="45" spans="1:23" ht="12" customHeight="1" x14ac:dyDescent="0.2">
      <c r="A45" s="824" t="s">
        <v>1094</v>
      </c>
    </row>
    <row r="46" spans="1:23" ht="12" customHeight="1" x14ac:dyDescent="0.2">
      <c r="A46" s="824" t="s">
        <v>1077</v>
      </c>
    </row>
  </sheetData>
  <sheetProtection algorithmName="SHA-512" hashValue="vlaee/1y7nUh+1o+b93rYXayXQhD60AUQFCCGUdtnMc3Rxt5oImjTs1G0fdnvDAc60SksX7BeO8DVlwsEIIr1Q==" saltValue="ZvMcLCDnI9zV85KMriRMiA==" spinCount="100000" sheet="1" formatColumns="0" selectLockedCells="1"/>
  <mergeCells count="3">
    <mergeCell ref="H6:H11"/>
    <mergeCell ref="H13:H14"/>
    <mergeCell ref="H24:H26"/>
  </mergeCells>
  <dataValidations count="2">
    <dataValidation type="whole" allowBlank="1" showInputMessage="1" showErrorMessage="1" errorTitle="ERRORE NEL DATO IMMESSO" error="INSERIRE SOLO NUMERI INTERI" sqref="C20 G12:G13 C28 C33:C34 C11:C13 C38:C40 G25:G34 G39:G40">
      <formula1>-999999999999</formula1>
      <formula2>999999999999</formula2>
    </dataValidation>
    <dataValidation type="whole" allowBlank="1" showInputMessage="1" showErrorMessage="1" errorTitle="ERRORE NEL DATO IMMESSO" error="INSERIRE SOLO NUMERI INTERI" sqref="G9:G11 C37 G37:G38 C16:C19 C22:C27 C9:C10 C30:C32 G16:G24">
      <formula1>0</formula1>
      <formula2>999999999999</formula2>
    </dataValidation>
  </dataValidations>
  <printOptions horizontalCentered="1"/>
  <pageMargins left="0.39370078740157483" right="0.39370078740157483" top="0.98425196850393704" bottom="0.39370078740157483" header="0.51181102362204722" footer="0.19685039370078741"/>
  <pageSetup paperSize="9" scale="62" orientation="landscape" horizontalDpi="300" verticalDpi="4294967292"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7"/>
  <sheetViews>
    <sheetView showGridLines="0" zoomScale="80" zoomScaleNormal="80" workbookViewId="0">
      <selection activeCell="D14" sqref="D14:F14"/>
    </sheetView>
  </sheetViews>
  <sheetFormatPr defaultColWidth="9.33203125" defaultRowHeight="15" x14ac:dyDescent="0.2"/>
  <cols>
    <col min="1" max="1" width="10.6640625" style="1128" customWidth="1"/>
    <col min="2" max="2" width="8.6640625" style="1129" customWidth="1"/>
    <col min="3" max="3" width="2.6640625" style="1130" customWidth="1"/>
    <col min="4" max="4" width="180.6640625" style="1130" customWidth="1"/>
    <col min="5" max="5" width="2.6640625" style="1130" customWidth="1"/>
    <col min="6" max="6" width="20.6640625" style="1131" customWidth="1"/>
    <col min="7" max="7" width="50.6640625" style="1132" customWidth="1"/>
    <col min="8" max="8" width="9.33203125" style="1115" customWidth="1"/>
    <col min="9" max="9" width="9.33203125" style="1119" customWidth="1"/>
    <col min="10" max="10" width="9.33203125" style="1133" customWidth="1"/>
    <col min="11" max="14" width="15.6640625" style="1130" hidden="1" customWidth="1"/>
    <col min="15" max="16384" width="9.33203125" style="1130"/>
  </cols>
  <sheetData>
    <row r="1" spans="1:14" s="1070" customFormat="1" ht="35.1" customHeight="1" thickBot="1" x14ac:dyDescent="0.4">
      <c r="A1" s="1065"/>
      <c r="B1" s="1066"/>
      <c r="C1" s="1067"/>
      <c r="D1" s="1067"/>
      <c r="E1" s="1067"/>
      <c r="F1" s="1068"/>
      <c r="G1" s="1000" t="s">
        <v>882</v>
      </c>
      <c r="H1" s="1069" t="s">
        <v>332</v>
      </c>
      <c r="J1" s="1071"/>
    </row>
    <row r="2" spans="1:14" s="1070" customFormat="1" ht="35.1" customHeight="1" x14ac:dyDescent="0.2">
      <c r="A2" s="1078" t="s">
        <v>687</v>
      </c>
      <c r="B2" s="1072"/>
      <c r="C2" s="1073"/>
      <c r="D2" s="1074"/>
      <c r="E2" s="1073"/>
      <c r="F2" s="1075"/>
      <c r="G2" s="1549" t="s">
        <v>912</v>
      </c>
      <c r="H2" s="1076"/>
      <c r="I2" s="1077"/>
      <c r="J2" s="1071"/>
    </row>
    <row r="3" spans="1:14" s="1080" customFormat="1" ht="35.1" customHeight="1" thickBot="1" x14ac:dyDescent="0.4">
      <c r="A3" s="1078" t="s">
        <v>688</v>
      </c>
      <c r="B3" s="1072"/>
      <c r="C3" s="1078"/>
      <c r="D3" s="1079"/>
      <c r="E3" s="1073"/>
      <c r="F3" s="1075"/>
      <c r="G3" s="1550"/>
      <c r="H3" s="1076"/>
      <c r="I3" s="1077"/>
      <c r="J3" s="1071"/>
    </row>
    <row r="4" spans="1:14" s="1070" customFormat="1" ht="35.1" customHeight="1" thickBot="1" x14ac:dyDescent="0.2">
      <c r="A4" s="1081"/>
      <c r="B4" s="1082"/>
      <c r="C4" s="1083"/>
      <c r="D4" s="1084"/>
      <c r="E4" s="1085"/>
      <c r="F4" s="1086"/>
      <c r="G4" s="1087" t="s">
        <v>689</v>
      </c>
      <c r="H4" s="1088"/>
      <c r="I4" s="1089"/>
      <c r="J4" s="1088"/>
    </row>
    <row r="5" spans="1:14" s="1070" customFormat="1" ht="35.1" customHeight="1" x14ac:dyDescent="0.15">
      <c r="A5" s="1080"/>
      <c r="B5" s="1080"/>
      <c r="D5" s="1080"/>
      <c r="E5" s="1080"/>
      <c r="F5" s="1090"/>
      <c r="G5" s="1551" t="s">
        <v>912</v>
      </c>
      <c r="I5" s="1071"/>
    </row>
    <row r="6" spans="1:14" s="1095" customFormat="1" ht="35.1" customHeight="1" thickBot="1" x14ac:dyDescent="0.2">
      <c r="A6" s="1091" t="str">
        <f>'t1'!$A$1</f>
        <v>REGIONE VALLE D'AOSTA - anno 2024</v>
      </c>
      <c r="B6" s="1092"/>
      <c r="C6" s="1093"/>
      <c r="D6" s="1094"/>
      <c r="E6" s="1093"/>
      <c r="F6" s="1093"/>
      <c r="G6" s="1552"/>
      <c r="I6" s="1096"/>
    </row>
    <row r="7" spans="1:14" s="1095" customFormat="1" ht="35.1" customHeight="1" x14ac:dyDescent="0.15">
      <c r="A7" s="1097"/>
      <c r="B7" s="1098"/>
      <c r="D7" s="1099" t="s">
        <v>883</v>
      </c>
      <c r="G7" s="1100"/>
      <c r="H7" s="1101"/>
      <c r="I7" s="1096"/>
      <c r="N7" s="1102" t="s">
        <v>691</v>
      </c>
    </row>
    <row r="8" spans="1:14" s="1095" customFormat="1" ht="15" customHeight="1" x14ac:dyDescent="0.15">
      <c r="A8" s="1097"/>
      <c r="B8" s="1098"/>
      <c r="D8" s="1103"/>
      <c r="G8" s="1100"/>
      <c r="H8" s="1101"/>
      <c r="I8" s="1096"/>
      <c r="N8" s="1096">
        <f>(COUNTIF(D14,"&lt;&gt;"&amp;"")+COUNTIF(D17,"&lt;&gt;"&amp;""))</f>
        <v>0</v>
      </c>
    </row>
    <row r="9" spans="1:14" s="1095" customFormat="1" ht="9.9499999999999993" customHeight="1" x14ac:dyDescent="0.15">
      <c r="A9" s="1097"/>
      <c r="B9" s="1098"/>
      <c r="D9" s="1103"/>
      <c r="G9" s="1100"/>
      <c r="H9" s="1101"/>
      <c r="I9" s="1096"/>
      <c r="N9" s="1102"/>
    </row>
    <row r="10" spans="1:14" s="1095" customFormat="1" ht="9.9499999999999993" customHeight="1" x14ac:dyDescent="0.15">
      <c r="A10" s="1104"/>
      <c r="B10" s="1098"/>
      <c r="D10" s="1105"/>
      <c r="E10" s="1105"/>
      <c r="F10" s="1106"/>
      <c r="G10" s="1100"/>
      <c r="H10" s="1107"/>
      <c r="I10" s="1103"/>
      <c r="J10" s="1107"/>
    </row>
    <row r="11" spans="1:14" s="836" customFormat="1" ht="35.1" customHeight="1" x14ac:dyDescent="0.15">
      <c r="A11" s="1108" t="s">
        <v>729</v>
      </c>
      <c r="B11" s="1108"/>
      <c r="C11" s="1109"/>
      <c r="D11" s="1109" t="s">
        <v>730</v>
      </c>
      <c r="E11" s="1108"/>
      <c r="F11" s="1110"/>
      <c r="G11" s="813"/>
      <c r="I11" s="1111"/>
      <c r="J11" s="1112"/>
    </row>
    <row r="12" spans="1:14" s="1115" customFormat="1" ht="3.95" customHeight="1" x14ac:dyDescent="0.15">
      <c r="A12" s="1113"/>
      <c r="B12" s="1114"/>
      <c r="D12" s="1116"/>
      <c r="E12" s="1116"/>
      <c r="F12" s="1117"/>
      <c r="G12" s="1118"/>
      <c r="I12" s="1119"/>
      <c r="J12" s="1120"/>
    </row>
    <row r="13" spans="1:14" s="836" customFormat="1" x14ac:dyDescent="0.15">
      <c r="A13" s="837" t="s">
        <v>731</v>
      </c>
      <c r="B13" s="835" t="s">
        <v>478</v>
      </c>
      <c r="D13" s="813" t="s">
        <v>732</v>
      </c>
      <c r="F13" s="1121"/>
      <c r="G13" s="813"/>
      <c r="K13" s="862" t="str">
        <f>LEFT(A13,3)</f>
        <v>INF</v>
      </c>
      <c r="L13" s="862" t="str">
        <f>RIGHT(A13,3)</f>
        <v>209</v>
      </c>
      <c r="M13" s="862" t="str">
        <f>B13</f>
        <v>NOTE</v>
      </c>
      <c r="N13" s="836" t="str">
        <f>IF(ISBLANK(D14),"",LEFT(D14,1500))</f>
        <v/>
      </c>
    </row>
    <row r="14" spans="1:14" s="836" customFormat="1" ht="45" customHeight="1" x14ac:dyDescent="0.15">
      <c r="A14" s="1122"/>
      <c r="B14" s="1123"/>
      <c r="D14" s="1553"/>
      <c r="E14" s="1554"/>
      <c r="F14" s="1555"/>
      <c r="G14" s="1124" t="str">
        <f>IF(LEN(D14)&gt;1500,"Attenzione, è stato superato il numero massimo di 1500 caratteri","")</f>
        <v/>
      </c>
      <c r="I14" s="1111"/>
    </row>
    <row r="15" spans="1:14" s="836" customFormat="1" x14ac:dyDescent="0.15">
      <c r="A15" s="1125"/>
      <c r="B15" s="835"/>
      <c r="D15" s="861"/>
      <c r="E15" s="861"/>
      <c r="F15" s="1126"/>
      <c r="G15" s="813"/>
      <c r="I15" s="1111"/>
      <c r="J15" s="1127"/>
    </row>
    <row r="16" spans="1:14" s="836" customFormat="1" x14ac:dyDescent="0.15">
      <c r="A16" s="837" t="s">
        <v>733</v>
      </c>
      <c r="B16" s="835" t="s">
        <v>478</v>
      </c>
      <c r="D16" s="813" t="s">
        <v>734</v>
      </c>
      <c r="F16" s="1121"/>
      <c r="G16" s="813"/>
      <c r="K16" s="862" t="str">
        <f>LEFT(A16,3)</f>
        <v>INF</v>
      </c>
      <c r="L16" s="862" t="str">
        <f>RIGHT(A16,3)</f>
        <v>127</v>
      </c>
      <c r="M16" s="862" t="str">
        <f>B16</f>
        <v>NOTE</v>
      </c>
      <c r="N16" s="836" t="str">
        <f>IF(ISBLANK(D17),"",LEFT(D17,1500))</f>
        <v/>
      </c>
    </row>
    <row r="17" spans="1:11" s="836" customFormat="1" ht="45" customHeight="1" x14ac:dyDescent="0.15">
      <c r="A17" s="1122"/>
      <c r="B17" s="1123"/>
      <c r="D17" s="1553"/>
      <c r="E17" s="1554"/>
      <c r="F17" s="1555"/>
      <c r="G17" s="1124" t="str">
        <f>IF(LEN(D17)&gt;1500,"Attenzione, è stato superato il numero massimo di 1500 caratteri","")</f>
        <v/>
      </c>
      <c r="I17" s="1111"/>
      <c r="K17" s="927" t="s">
        <v>551</v>
      </c>
    </row>
  </sheetData>
  <sheetProtection algorithmName="SHA-512" hashValue="qIw41ugtjlnY2zPACWpr0tdYmJaCB6+P3PUm2TpAwHk43AuYly85UGeFmhUZeEQGM8yiZI1+/AL+Yun/ko2meA==" saltValue="pxUpwQ6eJfKK6rkc94Hi5g==" spinCount="100000" sheet="1" formatColumns="0" selectLockedCells="1"/>
  <dataConsolidate/>
  <mergeCells count="4">
    <mergeCell ref="G2:G3"/>
    <mergeCell ref="G5:G6"/>
    <mergeCell ref="D14:F14"/>
    <mergeCell ref="D17:F17"/>
  </mergeCells>
  <dataValidations count="1">
    <dataValidation type="textLength" allowBlank="1" showInputMessage="1" showErrorMessage="1" errorTitle="Errore di digitazione" error="Inserire massimo 1500 caratteri" sqref="D14:F14 D17:F17">
      <formula1>0</formula1>
      <formula2>1500</formula2>
    </dataValidation>
  </dataValidations>
  <pageMargins left="0.39370078740157483" right="0.39370078740157483" top="0.39370078740157483" bottom="0.39370078740157483" header="0.31496062992125984" footer="0.31496062992125984"/>
  <pageSetup paperSize="9" scale="5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3"/>
  <sheetViews>
    <sheetView showGridLines="0" topLeftCell="A36" zoomScale="80" zoomScaleNormal="80" workbookViewId="0">
      <selection activeCell="F53" sqref="F53"/>
    </sheetView>
  </sheetViews>
  <sheetFormatPr defaultColWidth="11.6640625" defaultRowHeight="15" x14ac:dyDescent="0.2"/>
  <cols>
    <col min="1" max="1" width="10.6640625" style="820" customWidth="1"/>
    <col min="2" max="2" width="8.6640625" style="820" customWidth="1"/>
    <col min="3" max="3" width="2.6640625" style="820" customWidth="1"/>
    <col min="4" max="4" width="180.6640625" style="798" customWidth="1"/>
    <col min="5" max="5" width="2.6640625" style="798" customWidth="1"/>
    <col min="6" max="6" width="20.6640625" style="821" customWidth="1"/>
    <col min="7" max="7" width="50.6640625" style="797" customWidth="1"/>
    <col min="8" max="10" width="9.33203125" style="798" customWidth="1"/>
    <col min="11" max="14" width="15.6640625" style="798" hidden="1" customWidth="1"/>
    <col min="15" max="16384" width="11.6640625" style="798"/>
  </cols>
  <sheetData>
    <row r="1" spans="1:14" s="1070" customFormat="1" ht="35.1" customHeight="1" thickBot="1" x14ac:dyDescent="0.2">
      <c r="A1" s="1134"/>
      <c r="B1" s="1134"/>
      <c r="C1" s="1134"/>
      <c r="D1" s="1135"/>
      <c r="E1" s="1136"/>
      <c r="F1" s="1136"/>
      <c r="G1" s="1000" t="s">
        <v>882</v>
      </c>
      <c r="H1" s="1137" t="s">
        <v>298</v>
      </c>
    </row>
    <row r="2" spans="1:14" s="1070" customFormat="1" ht="35.1" customHeight="1" x14ac:dyDescent="0.35">
      <c r="A2" s="1138" t="s">
        <v>687</v>
      </c>
      <c r="B2" s="1138"/>
      <c r="C2" s="1138"/>
      <c r="D2" s="1073"/>
      <c r="E2" s="1073"/>
      <c r="F2" s="1075"/>
      <c r="G2" s="1549" t="s">
        <v>912</v>
      </c>
    </row>
    <row r="3" spans="1:14" s="1080" customFormat="1" ht="35.1" customHeight="1" thickBot="1" x14ac:dyDescent="0.4">
      <c r="A3" s="1138" t="s">
        <v>688</v>
      </c>
      <c r="B3" s="1138"/>
      <c r="C3" s="1138"/>
      <c r="D3" s="1139"/>
      <c r="E3" s="1140"/>
      <c r="F3" s="1141"/>
      <c r="G3" s="1556"/>
      <c r="K3" s="1090"/>
    </row>
    <row r="4" spans="1:14" s="1095" customFormat="1" ht="35.1" customHeight="1" thickBot="1" x14ac:dyDescent="0.2">
      <c r="A4" s="1081"/>
      <c r="B4" s="1142"/>
      <c r="C4" s="1142"/>
      <c r="D4" s="1143"/>
      <c r="E4" s="1085"/>
      <c r="F4" s="1086"/>
      <c r="G4" s="1087" t="s">
        <v>689</v>
      </c>
    </row>
    <row r="5" spans="1:14" s="1095" customFormat="1" ht="35.1" customHeight="1" x14ac:dyDescent="0.15">
      <c r="G5" s="1557" t="str">
        <f>IF(AND(ISBLANK(F13),ISBLANK(F17)),"OK",IF(AND(OR(ISBLANK(F13),YEAR(F13)&gt;'t1'!L1-1),OR(ISBLANK(F17),YEAR(F17)&gt;'t1'!L1-1)),"OK","Attenzione: almeno una data di certificazione è antececedente l'anno "&amp;'t1'!L1&amp;", è necessario giustificare"))</f>
        <v>OK</v>
      </c>
    </row>
    <row r="6" spans="1:14" s="1095" customFormat="1" ht="35.1" customHeight="1" thickBot="1" x14ac:dyDescent="0.2">
      <c r="A6" s="1144" t="str">
        <f>'t1'!$A$1</f>
        <v>REGIONE VALLE D'AOSTA - anno 2024</v>
      </c>
      <c r="B6" s="1144"/>
      <c r="C6" s="1144"/>
      <c r="D6" s="1145"/>
      <c r="E6" s="1146"/>
      <c r="F6" s="1146"/>
      <c r="G6" s="1558"/>
    </row>
    <row r="7" spans="1:14" s="1095" customFormat="1" ht="35.1" customHeight="1" x14ac:dyDescent="0.15">
      <c r="A7" s="1104"/>
      <c r="B7" s="1104"/>
      <c r="C7" s="1104"/>
      <c r="D7" s="1099" t="s">
        <v>690</v>
      </c>
      <c r="N7" s="796" t="s">
        <v>691</v>
      </c>
    </row>
    <row r="8" spans="1:14" s="1095" customFormat="1" ht="15" customHeight="1" x14ac:dyDescent="0.15">
      <c r="A8" s="1104"/>
      <c r="B8" s="1104"/>
      <c r="C8" s="1104"/>
      <c r="D8" s="1103"/>
      <c r="N8" s="1096">
        <f>(COUNTIF(F:F,"&lt;&gt;"&amp;"")+COUNTIF(D68,"&lt;&gt;"&amp;"")+COUNTIF(D71,"&lt;&gt;"&amp;""))</f>
        <v>15</v>
      </c>
    </row>
    <row r="9" spans="1:14" s="1095" customFormat="1" ht="9.9499999999999993" customHeight="1" x14ac:dyDescent="0.15">
      <c r="A9" s="1104"/>
      <c r="B9" s="1104"/>
      <c r="C9" s="1104"/>
      <c r="D9" s="1103"/>
      <c r="N9" s="796"/>
    </row>
    <row r="10" spans="1:14" ht="9.9499999999999993" customHeight="1" x14ac:dyDescent="0.2">
      <c r="A10" s="1147"/>
      <c r="B10" s="1147"/>
      <c r="C10" s="1147"/>
      <c r="D10" s="1148"/>
      <c r="E10" s="1147"/>
      <c r="F10" s="807"/>
    </row>
    <row r="11" spans="1:14" s="800" customFormat="1" ht="35.1" customHeight="1" x14ac:dyDescent="0.15">
      <c r="A11" s="1149" t="s">
        <v>692</v>
      </c>
      <c r="B11" s="1149"/>
      <c r="C11" s="1149"/>
      <c r="D11" s="1109" t="s">
        <v>693</v>
      </c>
      <c r="E11" s="1149"/>
      <c r="F11" s="1150"/>
      <c r="G11" s="799"/>
      <c r="K11" s="796" t="s">
        <v>694</v>
      </c>
      <c r="L11" s="796" t="s">
        <v>695</v>
      </c>
      <c r="M11" s="796" t="s">
        <v>696</v>
      </c>
      <c r="N11" s="796" t="s">
        <v>685</v>
      </c>
    </row>
    <row r="12" spans="1:14" s="800" customFormat="1" ht="3.95" customHeight="1" x14ac:dyDescent="0.15">
      <c r="A12" s="803"/>
      <c r="B12" s="803"/>
      <c r="C12" s="803"/>
      <c r="D12" s="801"/>
      <c r="E12" s="801"/>
      <c r="F12" s="807"/>
      <c r="G12" s="808"/>
    </row>
    <row r="13" spans="1:14" s="800" customFormat="1" ht="30" customHeight="1" x14ac:dyDescent="0.15">
      <c r="A13" s="803" t="s">
        <v>766</v>
      </c>
      <c r="B13" s="804" t="s">
        <v>698</v>
      </c>
      <c r="C13" s="804"/>
      <c r="D13" s="813" t="s">
        <v>884</v>
      </c>
      <c r="F13" s="809"/>
      <c r="G13" s="1151" t="str">
        <f ca="1">IF(AND(ISBLANK(F13),C13="x",$N$8&gt;0),"Attenzione: domanda a risposta obbligatoria",IF(ISBLANK(F13),"",IF(AND(F13&gt;=DATE('t1'!$L$1-2,1,1),F13&lt;=TODAY()),"","Digitare una data non anteriore al 1 Gennaio "&amp;'t1'!$L$1-1&amp;" (gg/mm/aaaa)")))</f>
        <v/>
      </c>
      <c r="K13" s="806" t="str">
        <f>LEFT(A13,3)</f>
        <v>GEN</v>
      </c>
      <c r="L13" s="806" t="str">
        <f>RIGHT(A13,3)</f>
        <v>353</v>
      </c>
      <c r="M13" s="806" t="str">
        <f>B13</f>
        <v>DATE</v>
      </c>
      <c r="N13" s="806" t="str">
        <f ca="1">IF(AND(F13&gt;=DATE('t1'!$L$1-1,1,1),F13&lt;=TODAY()),"'"&amp;DAY(F13)&amp;"/"&amp;MONTH(F13)&amp;"/"&amp;YEAR(F13),"")</f>
        <v/>
      </c>
    </row>
    <row r="14" spans="1:14" s="800" customFormat="1" ht="3.95" customHeight="1" x14ac:dyDescent="0.15">
      <c r="A14" s="803"/>
      <c r="B14" s="803"/>
      <c r="C14" s="803"/>
      <c r="D14" s="861"/>
      <c r="E14" s="801"/>
      <c r="F14" s="807"/>
      <c r="G14" s="834"/>
    </row>
    <row r="15" spans="1:14" s="800" customFormat="1" ht="30" customHeight="1" x14ac:dyDescent="0.15">
      <c r="A15" s="803" t="s">
        <v>767</v>
      </c>
      <c r="B15" s="804" t="s">
        <v>698</v>
      </c>
      <c r="C15" s="804"/>
      <c r="D15" s="813" t="s">
        <v>885</v>
      </c>
      <c r="F15" s="809"/>
      <c r="G15" s="1151" t="str">
        <f ca="1">IF(AND(ISBLANK(F15),C15="x",$N$8&gt;0),"Attenzione: domanda a risposta obbligatoria",IF(ISBLANK(F15),"",IF(AND(F15&gt;=DATE('t1'!$L$1-2,1,1),F15&lt;=TODAY()),"","Digitare una data non anteriore al 1 Gennaio "&amp;'t1'!$L$1-1&amp;" (gg/mm/aaaa)")))</f>
        <v/>
      </c>
      <c r="K15" s="806" t="str">
        <f>LEFT(A15,3)</f>
        <v>GEN</v>
      </c>
      <c r="L15" s="806" t="str">
        <f>RIGHT(A15,3)</f>
        <v>354</v>
      </c>
      <c r="M15" s="806" t="str">
        <f>B15</f>
        <v>DATE</v>
      </c>
      <c r="N15" s="806" t="str">
        <f ca="1">IF(AND(F15&gt;=DATE('t1'!$L$1-1,1,1),F15&lt;=TODAY()),"'"&amp;DAY(F15)&amp;"/"&amp;MONTH(F15)&amp;"/"&amp;YEAR(F15),"")</f>
        <v/>
      </c>
    </row>
    <row r="16" spans="1:14" s="800" customFormat="1" ht="3.95" customHeight="1" x14ac:dyDescent="0.15">
      <c r="A16" s="803"/>
      <c r="B16" s="803"/>
      <c r="C16" s="803"/>
      <c r="D16" s="813"/>
      <c r="F16" s="1152"/>
      <c r="G16" s="834"/>
    </row>
    <row r="17" spans="1:14" s="800" customFormat="1" ht="30" customHeight="1" x14ac:dyDescent="0.15">
      <c r="A17" s="803" t="s">
        <v>768</v>
      </c>
      <c r="B17" s="804" t="s">
        <v>698</v>
      </c>
      <c r="C17" s="804"/>
      <c r="D17" s="813" t="s">
        <v>886</v>
      </c>
      <c r="F17" s="809">
        <v>45454</v>
      </c>
      <c r="G17" s="1151" t="str">
        <f ca="1">IF(AND(ISBLANK(F17),C17="x",$N$8&gt;0),"Attenzione: domanda a risposta obbligatoria",IF(ISBLANK(F17),"",IF(AND(F17&gt;=DATE('t1'!$L$1-2,1,1),F17&lt;=TODAY()),"","Digitare una data non anteriore al 1 Gennaio "&amp;'t1'!$L$1-1&amp;" (gg/mm/aaaa)")))</f>
        <v/>
      </c>
      <c r="K17" s="806" t="str">
        <f>LEFT(A17,3)</f>
        <v>GEN</v>
      </c>
      <c r="L17" s="806" t="str">
        <f>RIGHT(A17,3)</f>
        <v>355</v>
      </c>
      <c r="M17" s="806" t="str">
        <f>B17</f>
        <v>DATE</v>
      </c>
      <c r="N17" s="806" t="str">
        <f ca="1">IF(AND(F17&gt;=DATE('t1'!$L$1-1,1,1),F17&lt;=TODAY()),"'"&amp;DAY(F17)&amp;"/"&amp;MONTH(F17)&amp;"/"&amp;YEAR(F17),"")</f>
        <v>'11/6/2024</v>
      </c>
    </row>
    <row r="18" spans="1:14" s="800" customFormat="1" ht="3.95" customHeight="1" x14ac:dyDescent="0.15">
      <c r="A18" s="803"/>
      <c r="B18" s="833"/>
      <c r="C18" s="833"/>
      <c r="D18" s="801"/>
      <c r="E18" s="801"/>
      <c r="F18" s="807"/>
      <c r="G18" s="799"/>
    </row>
    <row r="19" spans="1:14" s="800" customFormat="1" ht="30" customHeight="1" x14ac:dyDescent="0.15">
      <c r="A19" s="803" t="s">
        <v>699</v>
      </c>
      <c r="B19" s="804" t="s">
        <v>700</v>
      </c>
      <c r="C19" s="888" t="s">
        <v>933</v>
      </c>
      <c r="D19" s="799" t="s">
        <v>701</v>
      </c>
      <c r="F19" s="810">
        <v>0</v>
      </c>
      <c r="G19" s="816" t="str">
        <f>IF(AND(ISBLANK(F19),C19="x",$N$8&gt;0),"Attenzione: domanda a risposta obbligatoria",IF(ISBLANK(F19),"",IF(ISNUMBER(F19),IF(F19-INT(F19)=0,"","  Errore ! Inserire un numero intero senza decimali"),"  Errore ! Inserire un numero intero senza decimali")))</f>
        <v/>
      </c>
      <c r="K19" s="806" t="str">
        <f>LEFT(A19,3)</f>
        <v>GEN</v>
      </c>
      <c r="L19" s="806" t="str">
        <f>RIGHT(A19,3)</f>
        <v>195</v>
      </c>
      <c r="M19" s="806" t="str">
        <f>B19</f>
        <v>INT</v>
      </c>
      <c r="N19" s="806">
        <f>IF(ISNUMBER(F19),ROUND(F19,0),"")</f>
        <v>0</v>
      </c>
    </row>
    <row r="20" spans="1:14" s="800" customFormat="1" ht="3.95" customHeight="1" x14ac:dyDescent="0.15">
      <c r="A20" s="811"/>
      <c r="B20" s="811"/>
      <c r="C20" s="811"/>
      <c r="D20" s="801"/>
      <c r="E20" s="801"/>
      <c r="F20" s="802"/>
      <c r="G20" s="808"/>
    </row>
    <row r="21" spans="1:14" s="800" customFormat="1" ht="30" customHeight="1" x14ac:dyDescent="0.15">
      <c r="A21" s="1149" t="s">
        <v>703</v>
      </c>
      <c r="B21" s="1149"/>
      <c r="C21" s="1149"/>
      <c r="D21" s="1109" t="s">
        <v>704</v>
      </c>
      <c r="E21" s="1149"/>
      <c r="F21" s="1150"/>
      <c r="G21" s="808"/>
    </row>
    <row r="22" spans="1:14" s="800" customFormat="1" ht="3.95" customHeight="1" x14ac:dyDescent="0.15">
      <c r="A22" s="801"/>
      <c r="B22" s="801"/>
      <c r="C22" s="801"/>
      <c r="D22" s="801"/>
      <c r="E22" s="801"/>
      <c r="F22" s="802"/>
      <c r="G22" s="808"/>
    </row>
    <row r="23" spans="1:14" s="800" customFormat="1" ht="30" customHeight="1" x14ac:dyDescent="0.15">
      <c r="A23" s="803" t="s">
        <v>705</v>
      </c>
      <c r="B23" s="804" t="s">
        <v>700</v>
      </c>
      <c r="C23" s="804"/>
      <c r="D23" s="813" t="s">
        <v>706</v>
      </c>
      <c r="F23" s="810">
        <v>3</v>
      </c>
      <c r="G23" s="816" t="str">
        <f>IF(AND(ISBLANK(F23),C23="x",$N$8&gt;0),"Attenzione: domanda a risposta obbligatoria",IF(ISBLANK(F23),"",IF(ISNUMBER(F23),IF(F23-INT(F23)=0,"","  Errore ! Inserire un numero intero senza decimali"),"  Errore ! Inserire un numero intero senza decimali")))</f>
        <v/>
      </c>
      <c r="K23" s="806" t="str">
        <f>LEFT(A23,3)</f>
        <v>ORG</v>
      </c>
      <c r="L23" s="806" t="str">
        <f>RIGHT(A23,3)</f>
        <v>145</v>
      </c>
      <c r="M23" s="806" t="str">
        <f>B23</f>
        <v>INT</v>
      </c>
      <c r="N23" s="806">
        <f>IF(ISNUMBER(F23),ROUND(F23,0),"")</f>
        <v>3</v>
      </c>
    </row>
    <row r="24" spans="1:14" s="800" customFormat="1" ht="3.95" customHeight="1" x14ac:dyDescent="0.15">
      <c r="A24" s="811"/>
      <c r="B24" s="811"/>
      <c r="C24" s="811"/>
      <c r="D24" s="801"/>
      <c r="E24" s="801"/>
      <c r="F24" s="807"/>
      <c r="G24" s="808"/>
    </row>
    <row r="25" spans="1:14" s="800" customFormat="1" ht="30" customHeight="1" x14ac:dyDescent="0.15">
      <c r="A25" s="803" t="s">
        <v>711</v>
      </c>
      <c r="B25" s="804" t="s">
        <v>700</v>
      </c>
      <c r="C25" s="804"/>
      <c r="D25" s="813" t="s">
        <v>712</v>
      </c>
      <c r="F25" s="810">
        <v>18000</v>
      </c>
      <c r="G25" s="816" t="str">
        <f>IF(AND(ISBLANK(F25),C25="x",$N$8&gt;0),"Attenzione: domanda a risposta obbligatoria",IF(ISBLANK(F25),"",IF(ISNUMBER(F25),IF(F25-INT(F25)=0,"","  Errore ! Inserire un numero intero senza decimali"),"  Errore ! Inserire un numero intero senza decimali")))</f>
        <v/>
      </c>
      <c r="K25" s="806" t="str">
        <f>LEFT(A25,3)</f>
        <v>ORG</v>
      </c>
      <c r="L25" s="806" t="str">
        <f>RIGHT(A25,3)</f>
        <v>136</v>
      </c>
      <c r="M25" s="806" t="str">
        <f>B25</f>
        <v>INT</v>
      </c>
      <c r="N25" s="806">
        <f>IF(ISNUMBER(F25),ROUND(F25,0),"")</f>
        <v>18000</v>
      </c>
    </row>
    <row r="26" spans="1:14" s="800" customFormat="1" ht="3.95" customHeight="1" x14ac:dyDescent="0.15">
      <c r="A26" s="803"/>
      <c r="B26" s="803"/>
      <c r="C26" s="803"/>
      <c r="D26" s="801"/>
      <c r="E26" s="801"/>
      <c r="F26" s="807"/>
      <c r="G26" s="808"/>
    </row>
    <row r="27" spans="1:14" s="800" customFormat="1" ht="30" customHeight="1" x14ac:dyDescent="0.15">
      <c r="A27" s="803" t="s">
        <v>707</v>
      </c>
      <c r="B27" s="804" t="s">
        <v>700</v>
      </c>
      <c r="C27" s="804"/>
      <c r="D27" s="813" t="s">
        <v>708</v>
      </c>
      <c r="F27" s="810">
        <v>17</v>
      </c>
      <c r="G27" s="816" t="str">
        <f>IF(AND(ISBLANK(F27),C27="x",$N$8&gt;0),"Attenzione: domanda a risposta obbligatoria",IF(ISBLANK(F27),"",IF(ISNUMBER(F27),IF(F27-INT(F27)=0,"","  Errore ! Inserire un numero intero senza decimali"),"  Errore ! Inserire un numero intero senza decimali")))</f>
        <v/>
      </c>
      <c r="K27" s="806" t="str">
        <f>LEFT(A27,3)</f>
        <v>ORG</v>
      </c>
      <c r="L27" s="806" t="str">
        <f>RIGHT(A27,3)</f>
        <v>160</v>
      </c>
      <c r="M27" s="806" t="str">
        <f>B27</f>
        <v>INT</v>
      </c>
      <c r="N27" s="806">
        <f>IF(ISNUMBER(F27),ROUND(F27,0),"")</f>
        <v>17</v>
      </c>
    </row>
    <row r="28" spans="1:14" s="800" customFormat="1" ht="3.95" customHeight="1" x14ac:dyDescent="0.15">
      <c r="A28" s="803"/>
      <c r="B28" s="803"/>
      <c r="C28" s="803"/>
      <c r="D28" s="801"/>
      <c r="E28" s="801"/>
      <c r="F28" s="807"/>
      <c r="G28" s="808"/>
    </row>
    <row r="29" spans="1:14" s="800" customFormat="1" ht="30" customHeight="1" x14ac:dyDescent="0.15">
      <c r="A29" s="803" t="s">
        <v>713</v>
      </c>
      <c r="B29" s="804" t="s">
        <v>700</v>
      </c>
      <c r="C29" s="804"/>
      <c r="D29" s="813" t="s">
        <v>714</v>
      </c>
      <c r="E29" s="895"/>
      <c r="F29" s="896">
        <v>10000</v>
      </c>
      <c r="G29" s="816" t="str">
        <f>IF(AND(ISBLANK(F29),C29="x",$N$8&gt;0),"Attenzione: domanda a risposta obbligatoria",IF(ISBLANK(F29),"",IF(ISNUMBER(F29),IF(F29-INT(F29)=0,"","  Errore ! Inserire un numero intero senza decimali"),"  Errore ! Inserire un numero intero senza decimali")))</f>
        <v/>
      </c>
      <c r="K29" s="806" t="str">
        <f>LEFT(A29,3)</f>
        <v>ORG</v>
      </c>
      <c r="L29" s="806" t="str">
        <f>RIGHT(A29,3)</f>
        <v>179</v>
      </c>
      <c r="M29" s="806" t="str">
        <f>B29</f>
        <v>INT</v>
      </c>
      <c r="N29" s="806">
        <f>IF(ISNUMBER(F29),ROUND(F29,0),"")</f>
        <v>10000</v>
      </c>
    </row>
    <row r="30" spans="1:14" s="800" customFormat="1" ht="4.3499999999999996" customHeight="1" x14ac:dyDescent="0.15">
      <c r="A30" s="803"/>
      <c r="B30" s="803"/>
      <c r="C30" s="888"/>
      <c r="D30" s="801"/>
      <c r="E30" s="801"/>
      <c r="F30" s="807"/>
      <c r="G30" s="808"/>
    </row>
    <row r="31" spans="1:14" s="800" customFormat="1" ht="30" customHeight="1" x14ac:dyDescent="0.15">
      <c r="A31" s="837" t="s">
        <v>709</v>
      </c>
      <c r="B31" s="804" t="s">
        <v>700</v>
      </c>
      <c r="C31" s="804"/>
      <c r="D31" s="813" t="s">
        <v>710</v>
      </c>
      <c r="F31" s="810">
        <v>26</v>
      </c>
      <c r="G31" s="816" t="str">
        <f>IF(AND(ISBLANK(F31),C31="x",$N$8&gt;0),"Attenzione: domanda a risposta obbligatoria",IF(ISBLANK(F31),"",IF(ISNUMBER(F31),IF(F31-INT(F31)=0,"","  Errore ! Inserire un numero intero senza decimali"),"  Errore ! Inserire un numero intero senza decimali")))</f>
        <v/>
      </c>
      <c r="K31" s="806" t="str">
        <f>LEFT(A31,3)</f>
        <v>ORG</v>
      </c>
      <c r="L31" s="806" t="str">
        <f>RIGHT(A31,3)</f>
        <v>154</v>
      </c>
      <c r="M31" s="806" t="str">
        <f>B31</f>
        <v>INT</v>
      </c>
      <c r="N31" s="806">
        <f>IF(ISNUMBER(F31),ROUND(F31,0),"")</f>
        <v>26</v>
      </c>
    </row>
    <row r="32" spans="1:14" s="800" customFormat="1" ht="3.95" customHeight="1" x14ac:dyDescent="0.15">
      <c r="A32" s="803"/>
      <c r="B32" s="803"/>
      <c r="C32" s="803"/>
      <c r="D32" s="801"/>
      <c r="E32" s="801"/>
      <c r="F32" s="807"/>
      <c r="G32" s="808"/>
    </row>
    <row r="33" spans="1:14" s="800" customFormat="1" ht="30" customHeight="1" x14ac:dyDescent="0.15">
      <c r="A33" s="803" t="s">
        <v>715</v>
      </c>
      <c r="B33" s="804" t="s">
        <v>700</v>
      </c>
      <c r="C33" s="804"/>
      <c r="D33" s="813" t="s">
        <v>716</v>
      </c>
      <c r="F33" s="810">
        <v>14000</v>
      </c>
      <c r="G33" s="816" t="str">
        <f>IF(AND(ISBLANK(F33),C33="x",$N$8&gt;0),"Attenzione: domanda a risposta obbligatoria",IF(ISBLANK(F33),"",IF(ISNUMBER(F33),IF(F33-INT(F33)=0,"","  Errore ! Inserire un numero intero senza decimali"),"  Errore ! Inserire un numero intero senza decimali")))</f>
        <v/>
      </c>
      <c r="K33" s="806" t="str">
        <f>LEFT(A33,3)</f>
        <v>ORG</v>
      </c>
      <c r="L33" s="806" t="str">
        <f>RIGHT(A33,3)</f>
        <v>161</v>
      </c>
      <c r="M33" s="806" t="str">
        <f>B33</f>
        <v>INT</v>
      </c>
      <c r="N33" s="806">
        <f>IF(ISNUMBER(F33),ROUND(F33,0),"")</f>
        <v>14000</v>
      </c>
    </row>
    <row r="34" spans="1:14" s="800" customFormat="1" ht="3.95" customHeight="1" x14ac:dyDescent="0.15">
      <c r="A34" s="803"/>
      <c r="B34" s="803"/>
      <c r="C34" s="803"/>
      <c r="D34" s="801"/>
      <c r="E34" s="801"/>
      <c r="F34" s="807"/>
      <c r="G34" s="808"/>
    </row>
    <row r="35" spans="1:14" s="800" customFormat="1" ht="30" customHeight="1" x14ac:dyDescent="0.15">
      <c r="A35" s="837" t="s">
        <v>965</v>
      </c>
      <c r="B35" s="835" t="s">
        <v>700</v>
      </c>
      <c r="C35" s="899"/>
      <c r="D35" s="813" t="s">
        <v>959</v>
      </c>
      <c r="F35" s="810"/>
      <c r="G35" s="816" t="str">
        <f>IF(AND(ISBLANK(F35),C35="x",$N$8&gt;0),"Attenzione: domanda a risposta obbligatoria",IF(ISBLANK(F35),"",IF(ISNUMBER(F35),IF(F35-INT(F35)=0,"","  Errore ! Inserire un numero intero senza decimali"),"  Errore ! Inserire un numero intero senza decimali")))</f>
        <v/>
      </c>
      <c r="K35" s="806" t="str">
        <f>LEFT(A35,3)</f>
        <v>ORG</v>
      </c>
      <c r="L35" s="806" t="str">
        <f>RIGHT(A35,3)</f>
        <v>442</v>
      </c>
      <c r="M35" s="806" t="str">
        <f>B35</f>
        <v>INT</v>
      </c>
      <c r="N35" s="806" t="str">
        <f>IF(ISNUMBER(F35),ROUND(F35,0),"")</f>
        <v/>
      </c>
    </row>
    <row r="36" spans="1:14" s="800" customFormat="1" ht="4.3499999999999996" customHeight="1" x14ac:dyDescent="0.15">
      <c r="A36" s="803"/>
      <c r="B36" s="803"/>
      <c r="C36" s="888"/>
      <c r="D36" s="801"/>
      <c r="E36" s="801"/>
      <c r="F36" s="807"/>
      <c r="G36" s="808"/>
    </row>
    <row r="37" spans="1:14" s="800" customFormat="1" ht="30" customHeight="1" x14ac:dyDescent="0.15">
      <c r="A37" s="837" t="s">
        <v>964</v>
      </c>
      <c r="B37" s="835" t="s">
        <v>700</v>
      </c>
      <c r="C37" s="899"/>
      <c r="D37" s="813" t="s">
        <v>960</v>
      </c>
      <c r="F37" s="896"/>
      <c r="G37" s="816" t="str">
        <f>IF(AND(ISBLANK(F37),C37="x",$N$8&gt;0),"Attenzione: domanda a risposta obbligatoria",IF(ISBLANK(F37),"",IF(ISNUMBER(F37),IF(F37-INT(F37)=0,"","  Errore ! Inserire un numero intero senza decimali"),"  Errore ! Inserire un numero intero senza decimali")))</f>
        <v/>
      </c>
      <c r="K37" s="806" t="str">
        <f>LEFT(A37,3)</f>
        <v>ORG</v>
      </c>
      <c r="L37" s="806" t="str">
        <f>RIGHT(A37,3)</f>
        <v>441</v>
      </c>
      <c r="M37" s="806" t="str">
        <f>B37</f>
        <v>INT</v>
      </c>
      <c r="N37" s="806" t="str">
        <f>IF(ISNUMBER(F37),ROUND(F37,0),"")</f>
        <v/>
      </c>
    </row>
    <row r="38" spans="1:14" s="800" customFormat="1" ht="3.95" customHeight="1" x14ac:dyDescent="0.15">
      <c r="A38" s="803"/>
      <c r="B38" s="803"/>
      <c r="C38" s="803"/>
      <c r="D38" s="801"/>
      <c r="E38" s="801"/>
      <c r="F38" s="807"/>
      <c r="G38" s="808"/>
    </row>
    <row r="39" spans="1:14" s="800" customFormat="1" ht="30" customHeight="1" x14ac:dyDescent="0.15">
      <c r="A39" s="1149" t="s">
        <v>717</v>
      </c>
      <c r="B39" s="1149"/>
      <c r="C39" s="1149"/>
      <c r="D39" s="1109" t="s">
        <v>1065</v>
      </c>
      <c r="E39" s="1149"/>
      <c r="F39" s="1150"/>
    </row>
    <row r="40" spans="1:14" s="800" customFormat="1" ht="3.95" customHeight="1" x14ac:dyDescent="0.15">
      <c r="A40" s="801"/>
      <c r="B40" s="801"/>
      <c r="C40" s="801"/>
      <c r="D40" s="861"/>
      <c r="E40" s="801"/>
      <c r="F40" s="802"/>
      <c r="G40" s="808"/>
    </row>
    <row r="41" spans="1:14" s="800" customFormat="1" ht="30" customHeight="1" x14ac:dyDescent="0.15">
      <c r="A41" s="837" t="s">
        <v>820</v>
      </c>
      <c r="B41" s="804" t="s">
        <v>697</v>
      </c>
      <c r="C41" s="804"/>
      <c r="D41" s="813" t="s">
        <v>819</v>
      </c>
      <c r="F41" s="805" t="s">
        <v>1118</v>
      </c>
      <c r="G41" s="816" t="str">
        <f>IF(AND(ISBLANK(F41),C41="x",$N$8&gt;0),"Attenzione: domanda a risposta obbligatoria",IF(ISBLANK(F41),"",IF(AND(LEN(F41)=1,OR(UPPER(F41)="N",UPPER(F41)="S")),"",IF(ISBLANK(F41),"","  Errore ! Inserire S o N"))))</f>
        <v/>
      </c>
      <c r="K41" s="806" t="str">
        <f>LEFT(A41,3)</f>
        <v>PEO</v>
      </c>
      <c r="L41" s="806" t="str">
        <f>RIGHT(A41,3)</f>
        <v>394</v>
      </c>
      <c r="M41" s="806" t="str">
        <f>B41</f>
        <v>FLAG</v>
      </c>
      <c r="N41" s="806" t="str">
        <f>IF(AND(LEN(F41)=1,OR(UPPER(F41)="N",UPPER(F41)="S")),UPPER(F41),"")</f>
        <v>S</v>
      </c>
    </row>
    <row r="42" spans="1:14" s="800" customFormat="1" ht="3.95" customHeight="1" x14ac:dyDescent="0.15">
      <c r="A42" s="803"/>
      <c r="B42" s="803"/>
      <c r="C42" s="803"/>
      <c r="D42" s="861"/>
      <c r="E42" s="801"/>
      <c r="F42" s="807"/>
      <c r="G42" s="808"/>
    </row>
    <row r="43" spans="1:14" s="800" customFormat="1" ht="30" customHeight="1" x14ac:dyDescent="0.15">
      <c r="A43" s="837" t="s">
        <v>1066</v>
      </c>
      <c r="B43" s="835" t="s">
        <v>700</v>
      </c>
      <c r="C43" s="836"/>
      <c r="D43" s="1343" t="s">
        <v>1067</v>
      </c>
      <c r="F43" s="810">
        <v>554</v>
      </c>
      <c r="G43" s="816" t="str">
        <f>IF(AND(ISBLANK(F43),C43="x",$N$8&gt;0),"Attenzione: domanda a risposta obbligatoria",IF(ISBLANK(F43),"",IF(ISNUMBER(F43),IF(F43-INT(F43)=0,"","  Errore ! Inserire un numero intero senza decimali"),"  Errore ! Inserire un numero intero senza decimali")))</f>
        <v/>
      </c>
      <c r="K43" s="806" t="str">
        <f>LEFT(A43,3)</f>
        <v>PEO</v>
      </c>
      <c r="L43" s="806" t="str">
        <f>RIGHT(A43,3)</f>
        <v>483</v>
      </c>
      <c r="M43" s="806" t="str">
        <f>B43</f>
        <v>INT</v>
      </c>
      <c r="N43" s="806">
        <f>IF(ISNUMBER(F43),ROUND(F43,0),"")</f>
        <v>554</v>
      </c>
    </row>
    <row r="44" spans="1:14" s="800" customFormat="1" ht="3.95" customHeight="1" x14ac:dyDescent="0.15">
      <c r="A44" s="803"/>
      <c r="B44" s="803"/>
      <c r="C44" s="803"/>
      <c r="D44" s="861"/>
      <c r="E44" s="801"/>
      <c r="F44" s="807"/>
      <c r="G44" s="808"/>
    </row>
    <row r="45" spans="1:14" s="800" customFormat="1" ht="30" customHeight="1" x14ac:dyDescent="0.15">
      <c r="A45" s="803" t="s">
        <v>718</v>
      </c>
      <c r="B45" s="804" t="s">
        <v>700</v>
      </c>
      <c r="C45" s="804"/>
      <c r="D45" s="813" t="s">
        <v>1068</v>
      </c>
      <c r="F45" s="810">
        <v>120</v>
      </c>
      <c r="G45" s="816" t="str">
        <f>IF(AND(ISBLANK(F45),C45="x",$N$8&gt;0),"Attenzione: domanda a risposta obbligatoria",IF(ISBLANK(F45),"",IF(ISNUMBER(F45),IF(F45-INT(F45)=0,"","  Errore ! Inserire un numero intero senza decimali"),"  Errore ! Inserire un numero intero senza decimali")))</f>
        <v/>
      </c>
      <c r="K45" s="806" t="str">
        <f>LEFT(A45,3)</f>
        <v>PEO</v>
      </c>
      <c r="L45" s="806" t="str">
        <f>RIGHT(A45,3)</f>
        <v>188</v>
      </c>
      <c r="M45" s="806" t="str">
        <f>B45</f>
        <v>INT</v>
      </c>
      <c r="N45" s="806">
        <f>IF(ISNUMBER(F45),ROUND(F45,0),"")</f>
        <v>120</v>
      </c>
    </row>
    <row r="46" spans="1:14" s="800" customFormat="1" ht="3.95" customHeight="1" x14ac:dyDescent="0.15">
      <c r="A46" s="803"/>
      <c r="B46" s="803"/>
      <c r="C46" s="803"/>
      <c r="D46" s="861"/>
      <c r="E46" s="801"/>
      <c r="F46" s="807"/>
      <c r="G46" s="808"/>
    </row>
    <row r="47" spans="1:14" s="800" customFormat="1" ht="30" customHeight="1" x14ac:dyDescent="0.15">
      <c r="A47" s="803" t="s">
        <v>719</v>
      </c>
      <c r="B47" s="804" t="s">
        <v>697</v>
      </c>
      <c r="C47" s="804"/>
      <c r="D47" s="1344" t="s">
        <v>1069</v>
      </c>
      <c r="F47" s="805" t="s">
        <v>1118</v>
      </c>
      <c r="G47" s="816" t="str">
        <f>IF(AND(ISBLANK(F47),C47="x",$N$8&gt;0),"Attenzione: domanda a risposta obbligatoria",IF(ISBLANK(F47),"",IF(AND(LEN(F47)=1,OR(UPPER(F47)="N",UPPER(F47)="S")),"",IF(ISBLANK(F47),"","  Errore ! Inserire S o N"))))</f>
        <v/>
      </c>
      <c r="K47" s="806" t="str">
        <f>LEFT(A47,3)</f>
        <v>PEO</v>
      </c>
      <c r="L47" s="806" t="str">
        <f>RIGHT(A47,3)</f>
        <v>119</v>
      </c>
      <c r="M47" s="806" t="str">
        <f>B47</f>
        <v>FLAG</v>
      </c>
      <c r="N47" s="806" t="str">
        <f>IF(AND(LEN(F47)=1,OR(UPPER(F47)="N",UPPER(F47)="S")),UPPER(F47),"")</f>
        <v>S</v>
      </c>
    </row>
    <row r="48" spans="1:14" s="800" customFormat="1" ht="3.95" customHeight="1" x14ac:dyDescent="0.15">
      <c r="A48" s="803"/>
      <c r="B48" s="803"/>
      <c r="C48" s="803"/>
      <c r="D48" s="861"/>
      <c r="E48" s="801"/>
      <c r="F48" s="807"/>
      <c r="G48" s="808"/>
    </row>
    <row r="49" spans="1:14" s="800" customFormat="1" ht="30" customHeight="1" x14ac:dyDescent="0.15">
      <c r="A49" s="803" t="s">
        <v>720</v>
      </c>
      <c r="B49" s="804" t="s">
        <v>697</v>
      </c>
      <c r="C49" s="804"/>
      <c r="D49" s="813" t="s">
        <v>1070</v>
      </c>
      <c r="F49" s="805" t="s">
        <v>1118</v>
      </c>
      <c r="G49" s="816" t="str">
        <f>IF(AND(ISBLANK(F49),C49="x",$N$8&gt;0),"Attenzione: domanda a risposta obbligatoria",IF(ISBLANK(F49),"",IF(AND(LEN(F49)=1,OR(UPPER(F49)="N",UPPER(F49)="S")),"",IF(ISBLANK(F49),"","  Errore ! Inserire S o N"))))</f>
        <v/>
      </c>
      <c r="K49" s="806" t="str">
        <f>LEFT(A49,3)</f>
        <v>PEO</v>
      </c>
      <c r="L49" s="806" t="str">
        <f>RIGHT(A49,3)</f>
        <v>266</v>
      </c>
      <c r="M49" s="806" t="str">
        <f>B49</f>
        <v>FLAG</v>
      </c>
      <c r="N49" s="806" t="str">
        <f>IF(AND(LEN(F49)=1,OR(UPPER(F49)="N",UPPER(F49)="S")),UPPER(F49),"")</f>
        <v>S</v>
      </c>
    </row>
    <row r="50" spans="1:14" s="800" customFormat="1" ht="3.95" customHeight="1" x14ac:dyDescent="0.15">
      <c r="A50" s="803"/>
      <c r="B50" s="803"/>
      <c r="C50" s="803"/>
      <c r="D50" s="801"/>
      <c r="E50" s="801"/>
      <c r="F50" s="807"/>
      <c r="G50" s="808"/>
    </row>
    <row r="51" spans="1:14" s="800" customFormat="1" ht="30" customHeight="1" x14ac:dyDescent="0.15">
      <c r="A51" s="1149" t="s">
        <v>721</v>
      </c>
      <c r="B51" s="1149"/>
      <c r="C51" s="1149"/>
      <c r="D51" s="1109" t="s">
        <v>722</v>
      </c>
      <c r="E51" s="1149"/>
      <c r="F51" s="1150"/>
      <c r="G51" s="816"/>
    </row>
    <row r="52" spans="1:14" s="800" customFormat="1" ht="3.95" customHeight="1" x14ac:dyDescent="0.15">
      <c r="A52" s="803"/>
      <c r="B52" s="804"/>
      <c r="C52" s="804"/>
      <c r="D52" s="813"/>
      <c r="F52" s="1153"/>
      <c r="G52" s="816"/>
      <c r="K52" s="806"/>
      <c r="L52" s="806"/>
      <c r="M52" s="806"/>
      <c r="N52" s="806"/>
    </row>
    <row r="53" spans="1:14" s="800" customFormat="1" ht="30" customHeight="1" x14ac:dyDescent="0.15">
      <c r="A53" s="803" t="s">
        <v>737</v>
      </c>
      <c r="B53" s="804" t="s">
        <v>700</v>
      </c>
      <c r="C53" s="804"/>
      <c r="D53" s="813" t="s">
        <v>739</v>
      </c>
      <c r="F53" s="810">
        <v>4592253</v>
      </c>
      <c r="G53" s="816" t="str">
        <f>IF(AND(ISBLANK(F53),C53="x",$N$8&gt;0),"Attenzione: domanda a risposta obbligatoria",IF(ISBLANK(F53),"",IF(ISNUMBER(F53),IF(F53-INT(F53)=0,"","  Errore ! Inserire un numero intero senza decimali"),"  Errore ! Inserire un numero intero senza decimali")))</f>
        <v/>
      </c>
      <c r="K53" s="806" t="str">
        <f>LEFT(A53,3)</f>
        <v>PRD</v>
      </c>
      <c r="L53" s="806" t="str">
        <f>RIGHT(A53,3)</f>
        <v>331</v>
      </c>
      <c r="M53" s="806" t="str">
        <f>B53</f>
        <v>INT</v>
      </c>
      <c r="N53" s="806">
        <f>IF(ISNUMBER(F53),ROUND(F53,0),"")</f>
        <v>4592253</v>
      </c>
    </row>
    <row r="54" spans="1:14" s="800" customFormat="1" ht="3.95" customHeight="1" x14ac:dyDescent="0.15">
      <c r="A54" s="803"/>
      <c r="B54" s="803"/>
      <c r="C54" s="803"/>
      <c r="D54" s="801"/>
      <c r="E54" s="801"/>
      <c r="F54" s="807"/>
      <c r="G54" s="808"/>
    </row>
    <row r="55" spans="1:14" s="800" customFormat="1" ht="30" customHeight="1" x14ac:dyDescent="0.15">
      <c r="A55" s="803" t="s">
        <v>738</v>
      </c>
      <c r="B55" s="804" t="s">
        <v>700</v>
      </c>
      <c r="C55" s="804"/>
      <c r="D55" s="813" t="s">
        <v>740</v>
      </c>
      <c r="F55" s="810"/>
      <c r="G55" s="816" t="str">
        <f>IF(AND(ISBLANK(F55),C55="x",$N$8&gt;0),"Attenzione: domanda a risposta obbligatoria",IF(ISBLANK(F55),"",IF(ISNUMBER(F55),IF(F55-INT(F55)=0,"","  Errore ! Inserire un numero intero senza decimali"),"  Errore ! Inserire un numero intero senza decimali")))</f>
        <v/>
      </c>
      <c r="K55" s="806" t="str">
        <f>LEFT(A55,3)</f>
        <v>PRD</v>
      </c>
      <c r="L55" s="806" t="str">
        <f>RIGHT(A55,3)</f>
        <v>332</v>
      </c>
      <c r="M55" s="806" t="str">
        <f>B55</f>
        <v>INT</v>
      </c>
      <c r="N55" s="806" t="str">
        <f>IF(ISNUMBER(F55),ROUND(F55,0),"")</f>
        <v/>
      </c>
    </row>
    <row r="56" spans="1:14" s="800" customFormat="1" ht="3.95" customHeight="1" x14ac:dyDescent="0.15">
      <c r="A56" s="803"/>
      <c r="B56" s="803"/>
      <c r="C56" s="803"/>
      <c r="D56" s="801"/>
      <c r="E56" s="801"/>
      <c r="F56" s="807"/>
      <c r="G56" s="808"/>
    </row>
    <row r="57" spans="1:14" s="800" customFormat="1" ht="30" customHeight="1" x14ac:dyDescent="0.15">
      <c r="A57" s="1149" t="s">
        <v>723</v>
      </c>
      <c r="B57" s="1149"/>
      <c r="C57" s="1149"/>
      <c r="D57" s="1109" t="s">
        <v>364</v>
      </c>
      <c r="E57" s="1149"/>
      <c r="F57" s="1150"/>
      <c r="G57" s="808"/>
    </row>
    <row r="58" spans="1:14" s="800" customFormat="1" ht="3.95" customHeight="1" x14ac:dyDescent="0.15">
      <c r="A58" s="801"/>
      <c r="B58" s="801"/>
      <c r="C58" s="801"/>
      <c r="D58" s="801"/>
      <c r="E58" s="801"/>
      <c r="F58" s="802"/>
      <c r="G58" s="808"/>
    </row>
    <row r="59" spans="1:14" s="800" customFormat="1" ht="30" customHeight="1" x14ac:dyDescent="0.15">
      <c r="A59" s="803" t="s">
        <v>724</v>
      </c>
      <c r="B59" s="804" t="s">
        <v>697</v>
      </c>
      <c r="C59" s="804"/>
      <c r="D59" s="813" t="s">
        <v>725</v>
      </c>
      <c r="F59" s="805"/>
      <c r="G59" s="816" t="str">
        <f>IF(AND(ISBLANK(F59),C59="x",$N$8&gt;0),"Attenzione: domanda a risposta obbligatoria",IF(ISBLANK(F59),"",IF(AND(LEN(F59)=1,OR(UPPER(F59)="N",UPPER(F59)="S")),"",IF(ISBLANK(F59),"","  Errore ! Inserire S o N"))))</f>
        <v/>
      </c>
      <c r="K59" s="806" t="str">
        <f>LEFT(A59,3)</f>
        <v>CPL</v>
      </c>
      <c r="L59" s="806" t="str">
        <f>RIGHT(A59,3)</f>
        <v>125</v>
      </c>
      <c r="M59" s="806" t="str">
        <f>B59</f>
        <v>FLAG</v>
      </c>
      <c r="N59" s="806" t="str">
        <f>IF(AND(LEN(F59)=1,OR(UPPER(F59)="N",UPPER(F59)="S")),UPPER(F59),"")</f>
        <v/>
      </c>
    </row>
    <row r="60" spans="1:14" s="800" customFormat="1" ht="3.95" customHeight="1" x14ac:dyDescent="0.15">
      <c r="A60" s="814"/>
      <c r="B60" s="814"/>
      <c r="C60" s="814"/>
      <c r="D60" s="801"/>
      <c r="E60" s="801"/>
      <c r="F60" s="807"/>
      <c r="G60" s="808"/>
    </row>
    <row r="61" spans="1:14" s="800" customFormat="1" ht="30" customHeight="1" x14ac:dyDescent="0.15">
      <c r="A61" s="803" t="s">
        <v>726</v>
      </c>
      <c r="B61" s="804" t="s">
        <v>697</v>
      </c>
      <c r="C61" s="804"/>
      <c r="D61" s="799" t="s">
        <v>727</v>
      </c>
      <c r="F61" s="805"/>
      <c r="G61" s="816" t="str">
        <f>IF(AND(ISBLANK(F61),C61="x",$N$8&gt;0),"Attenzione: domanda a risposta obbligatoria",IF(OR(ISBLANK(F61),F61="Singola",F61="Associata"),"","  Errore ! Inserire Singola o Associata"))</f>
        <v/>
      </c>
      <c r="K61" s="806" t="str">
        <f>LEFT(A61,3)</f>
        <v>CPL</v>
      </c>
      <c r="L61" s="806" t="str">
        <f>RIGHT(A61,3)</f>
        <v>147</v>
      </c>
      <c r="M61" s="806" t="str">
        <f>B61</f>
        <v>FLAG</v>
      </c>
      <c r="N61" s="806" t="str">
        <f>IF(F61="singola","S",IF(F61="associata","N",""))</f>
        <v/>
      </c>
    </row>
    <row r="62" spans="1:14" s="800" customFormat="1" ht="3.95" customHeight="1" x14ac:dyDescent="0.15">
      <c r="A62" s="814"/>
      <c r="B62" s="814"/>
      <c r="C62" s="814"/>
      <c r="D62" s="801"/>
      <c r="E62" s="801"/>
      <c r="F62" s="807"/>
      <c r="G62" s="808"/>
    </row>
    <row r="63" spans="1:14" s="800" customFormat="1" ht="30" customHeight="1" x14ac:dyDescent="0.15">
      <c r="A63" s="803" t="s">
        <v>728</v>
      </c>
      <c r="B63" s="804" t="s">
        <v>702</v>
      </c>
      <c r="C63" s="804"/>
      <c r="D63" s="799" t="s">
        <v>758</v>
      </c>
      <c r="F63" s="812"/>
      <c r="G63" s="816" t="str">
        <f>IF(AND(ISBLANK(F63),C63="x",$N$8&gt;0),"Attenzione: domanda a risposta obbligatoria",IF(ISBLANK(F63),"",IF(ISNUMBER(F63),IF(F63-ROUND(F63,4)=0,"","  Errore ! Inserire una % con al massimo due valori decimali"),"  Errore ! Inserire una % con al massimo due valori decimali")))</f>
        <v/>
      </c>
      <c r="K63" s="806" t="str">
        <f>LEFT(A63,3)</f>
        <v>CPL</v>
      </c>
      <c r="L63" s="806" t="str">
        <f>RIGHT(A63,3)</f>
        <v>313</v>
      </c>
      <c r="M63" s="806" t="str">
        <f>B63</f>
        <v>PERC</v>
      </c>
      <c r="N63" s="806" t="str">
        <f>IF(ISNUMBER(F63),ROUND(F63,4)*100,"")</f>
        <v/>
      </c>
    </row>
    <row r="64" spans="1:14" s="800" customFormat="1" ht="3.95" customHeight="1" x14ac:dyDescent="0.2">
      <c r="A64" s="814"/>
      <c r="B64" s="814"/>
      <c r="C64" s="814"/>
      <c r="D64" s="801"/>
      <c r="E64" s="801"/>
      <c r="F64" s="802"/>
      <c r="G64" s="797"/>
    </row>
    <row r="65" spans="1:14" s="800" customFormat="1" ht="30" customHeight="1" x14ac:dyDescent="0.2">
      <c r="A65" s="1149" t="s">
        <v>729</v>
      </c>
      <c r="B65" s="1149"/>
      <c r="C65" s="1149"/>
      <c r="D65" s="1109" t="s">
        <v>730</v>
      </c>
      <c r="E65" s="1149"/>
      <c r="F65" s="1150"/>
      <c r="G65" s="797"/>
    </row>
    <row r="66" spans="1:14" s="800" customFormat="1" ht="3.95" customHeight="1" x14ac:dyDescent="0.2">
      <c r="A66" s="814"/>
      <c r="B66" s="814"/>
      <c r="C66" s="814"/>
      <c r="D66" s="801"/>
      <c r="E66" s="801"/>
      <c r="F66" s="802"/>
      <c r="G66" s="797"/>
    </row>
    <row r="67" spans="1:14" s="800" customFormat="1" ht="15" customHeight="1" x14ac:dyDescent="0.2">
      <c r="A67" s="803" t="s">
        <v>731</v>
      </c>
      <c r="B67" s="803" t="s">
        <v>478</v>
      </c>
      <c r="C67" s="803"/>
      <c r="D67" s="799" t="s">
        <v>732</v>
      </c>
      <c r="F67" s="815"/>
      <c r="G67" s="797"/>
      <c r="K67" s="806" t="str">
        <f>LEFT(A67,3)</f>
        <v>INF</v>
      </c>
      <c r="L67" s="806" t="str">
        <f>RIGHT(A67,3)</f>
        <v>209</v>
      </c>
      <c r="M67" s="806" t="str">
        <f>B67</f>
        <v>NOTE</v>
      </c>
      <c r="N67" s="800" t="str">
        <f>IF(ISBLANK(D68),"",LEFT(D68,1500))</f>
        <v/>
      </c>
    </row>
    <row r="68" spans="1:14" s="800" customFormat="1" ht="45" customHeight="1" x14ac:dyDescent="0.15">
      <c r="A68" s="1154"/>
      <c r="B68" s="1154"/>
      <c r="C68" s="1154"/>
      <c r="D68" s="1559"/>
      <c r="E68" s="1560"/>
      <c r="F68" s="1561"/>
      <c r="G68" s="816" t="str">
        <f>IF(LEN(D68)&gt;1500,"Attenzione, è stato superato il numero massimo di 1500 caratteri","")</f>
        <v/>
      </c>
    </row>
    <row r="69" spans="1:14" s="800" customFormat="1" ht="15" customHeight="1" x14ac:dyDescent="0.2">
      <c r="A69" s="817"/>
      <c r="B69" s="817"/>
      <c r="C69" s="817"/>
      <c r="D69" s="801"/>
      <c r="E69" s="801"/>
      <c r="F69" s="818"/>
      <c r="G69" s="797"/>
    </row>
    <row r="70" spans="1:14" s="800" customFormat="1" ht="15" customHeight="1" x14ac:dyDescent="0.2">
      <c r="A70" s="803" t="s">
        <v>733</v>
      </c>
      <c r="B70" s="803" t="s">
        <v>478</v>
      </c>
      <c r="C70" s="803"/>
      <c r="D70" s="799" t="s">
        <v>734</v>
      </c>
      <c r="F70" s="802"/>
      <c r="G70" s="797"/>
      <c r="K70" s="806" t="str">
        <f>LEFT(A70,3)</f>
        <v>INF</v>
      </c>
      <c r="L70" s="806" t="str">
        <f>RIGHT(A70,3)</f>
        <v>127</v>
      </c>
      <c r="M70" s="806" t="str">
        <f>B70</f>
        <v>NOTE</v>
      </c>
      <c r="N70" s="800" t="str">
        <f>IF(ISBLANK(D71),"",LEFT(D71,1500))</f>
        <v xml:space="preserve">In T15(2) non è possibile estrapolare i dati relativi allo straordinario elettorale, eventi straordinari e calamità naturali,  i medesimi sono compresi nello straordinario complessivo (U06K). Per il lavoro straordinario la previsione viene effettuata sulla spesa storica, non viene costituito un fondo. </v>
      </c>
    </row>
    <row r="71" spans="1:14" s="800" customFormat="1" ht="45" customHeight="1" x14ac:dyDescent="0.15">
      <c r="A71" s="1154"/>
      <c r="B71" s="1154"/>
      <c r="C71" s="1154"/>
      <c r="D71" s="1559" t="s">
        <v>1095</v>
      </c>
      <c r="E71" s="1560"/>
      <c r="F71" s="1561"/>
      <c r="G71" s="816" t="str">
        <f>IF(LEN(D71)&gt;1500,"Attenzione, è stato superato il numero massimo di 1500 caratteri","")</f>
        <v/>
      </c>
      <c r="K71" s="819" t="s">
        <v>551</v>
      </c>
    </row>
    <row r="73" spans="1:14" ht="16.5" x14ac:dyDescent="0.2">
      <c r="A73" s="1345" t="s">
        <v>1073</v>
      </c>
    </row>
  </sheetData>
  <sheetProtection algorithmName="SHA-512" hashValue="56XpCyRbgPxPLXK4WoLpmc2URuzpUDbHWffLuaLyYtyK6+D2oW1p26oaMeE6YVal5AQ+++tHk3Neu6F+6xEaJA==" saltValue="wpPTRgBfKZbpgGGitS30bw==" spinCount="100000" sheet="1" formatColumns="0" selectLockedCells="1"/>
  <dataConsolidate/>
  <mergeCells count="4">
    <mergeCell ref="G2:G3"/>
    <mergeCell ref="G5:G6"/>
    <mergeCell ref="D68:F68"/>
    <mergeCell ref="D71:F71"/>
  </mergeCells>
  <dataValidations count="7">
    <dataValidation type="list" showInputMessage="1" showErrorMessage="1" errorTitle="Errore di digitazione" error="Digitare 'Singola' o 'Associata' o lasciare in bianco" sqref="F61">
      <formula1>"Singola,Associata"</formula1>
    </dataValidation>
    <dataValidation type="list" allowBlank="1" showDropDown="1" showInputMessage="1" showErrorMessage="1" errorTitle="Errore di digitazione" error="Digitare 'S' o 'N' o lasciare in bianco" sqref="F41 F59 F47 F49">
      <formula1>"s,n,S,N"</formula1>
    </dataValidation>
    <dataValidation type="date" allowBlank="1" showInputMessage="1" showErrorMessage="1" errorTitle="Errore di digitazione" error="Digitare una data valida nel formato gg/mm/aaaa" sqref="F16">
      <formula1>42005</formula1>
      <formula2>TODAY()</formula2>
    </dataValidation>
    <dataValidation type="whole" operator="lessThan" allowBlank="1" showInputMessage="1" showErrorMessage="1" errorTitle="Errore di digitazione" error="Inserire solo numeri interi o lasciare vuoto." sqref="F45 F52:F53 F43 F31 F33 F29 F55 F19 F23 F25 F27 F35 F37">
      <formula1>100000000000000</formula1>
    </dataValidation>
    <dataValidation type="textLength" allowBlank="1" showInputMessage="1" showErrorMessage="1" errorTitle="Errore di digitazione" error="Inserire massimo 1500 caratteri" sqref="D68:F68 D71:F71">
      <formula1>0</formula1>
      <formula2>1500</formula2>
    </dataValidation>
    <dataValidation type="custom" operator="lessThan" allowBlank="1" showInputMessage="1" showErrorMessage="1" errorTitle="Errore di digitazione" error="Inserire un numero percentuale con al massimo due valori decimali" sqref="F63">
      <formula1>OR(F63=0,F63-INT(F63*10000)/10000=0)</formula1>
    </dataValidation>
    <dataValidation type="date" allowBlank="1" showInputMessage="1" showErrorMessage="1" errorTitle="Errore di digitazione" error="Digitare una data non anteriore al 1 Gennaio dell'anno precedente quello di rilevazione (gg/mm/aaaa)" sqref="F13 F15 F17">
      <formula1>44562</formula1>
      <formula2>TODAY()</formula2>
    </dataValidation>
  </dataValidations>
  <printOptions horizontalCentered="1" verticalCentered="1"/>
  <pageMargins left="0.39370078740157483" right="0.39370078740157483" top="0.39370078740157483" bottom="0.39370078740157483" header="0.31496062992125984" footer="0.31496062992125984"/>
  <pageSetup paperSize="9" scale="4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
  <dimension ref="A1:L33"/>
  <sheetViews>
    <sheetView showGridLines="0" zoomScale="80" zoomScaleNormal="80" workbookViewId="0">
      <pane ySplit="3" topLeftCell="A6" activePane="bottomLeft" state="frozen"/>
      <selection pane="bottomLeft" activeCell="C4" sqref="C4:C6"/>
    </sheetView>
  </sheetViews>
  <sheetFormatPr defaultRowHeight="15.75" x14ac:dyDescent="0.25"/>
  <cols>
    <col min="1" max="1" width="87.6640625" customWidth="1"/>
    <col min="2" max="3" width="25.6640625" customWidth="1"/>
    <col min="4" max="4" width="60.6640625" customWidth="1"/>
    <col min="5" max="5" width="10.6640625" style="915" hidden="1" customWidth="1"/>
    <col min="6" max="6" width="10" hidden="1" customWidth="1"/>
    <col min="7" max="7" width="35.6640625" customWidth="1"/>
  </cols>
  <sheetData>
    <row r="1" spans="1:12" s="3" customFormat="1" ht="43.5" customHeight="1" x14ac:dyDescent="0.2">
      <c r="A1" s="1486" t="str">
        <f>'t1'!A1</f>
        <v>REGIONE VALLE D'AOSTA - anno 2024</v>
      </c>
      <c r="B1" s="1486"/>
      <c r="C1" s="1562"/>
      <c r="D1" s="1562"/>
      <c r="E1" s="914"/>
      <c r="F1" s="4"/>
      <c r="L1"/>
    </row>
    <row r="2" spans="1:12" ht="30" customHeight="1" thickBot="1" x14ac:dyDescent="0.3">
      <c r="A2" s="1563" t="str">
        <f>IF(B31&gt;0,IF($F$32&gt;0," ","Attenzione: Compilare la presente Tabella"),IF(C31=0," "," "))</f>
        <v>Attenzione: Compilare la presente Tabella</v>
      </c>
      <c r="B2" s="1563"/>
      <c r="C2" s="1564"/>
      <c r="D2" s="1564"/>
    </row>
    <row r="3" spans="1:12" ht="21.75" customHeight="1" thickBot="1" x14ac:dyDescent="0.3">
      <c r="A3" s="640" t="s">
        <v>545</v>
      </c>
      <c r="B3" s="641" t="s">
        <v>546</v>
      </c>
      <c r="C3" s="641" t="s">
        <v>547</v>
      </c>
      <c r="D3" s="642" t="s">
        <v>478</v>
      </c>
      <c r="G3" s="641" t="s">
        <v>634</v>
      </c>
    </row>
    <row r="4" spans="1:12" s="645" customFormat="1" ht="23.25" customHeight="1" x14ac:dyDescent="0.2">
      <c r="A4" s="643" t="s">
        <v>548</v>
      </c>
      <c r="B4" s="644">
        <f>'t12'!J34</f>
        <v>68221970</v>
      </c>
      <c r="C4" s="1565"/>
      <c r="D4" s="1567"/>
      <c r="E4" s="914" t="s">
        <v>549</v>
      </c>
      <c r="G4" s="1565"/>
    </row>
    <row r="5" spans="1:12" s="645" customFormat="1" ht="23.25" customHeight="1" x14ac:dyDescent="0.2">
      <c r="A5" s="567" t="s">
        <v>550</v>
      </c>
      <c r="B5" s="646">
        <f>'t13'!X34</f>
        <v>19095556</v>
      </c>
      <c r="C5" s="1566"/>
      <c r="D5" s="1568"/>
      <c r="E5" s="914" t="s">
        <v>551</v>
      </c>
      <c r="G5" s="1566"/>
    </row>
    <row r="6" spans="1:12" s="645" customFormat="1" ht="23.25" customHeight="1" x14ac:dyDescent="0.2">
      <c r="A6" s="567" t="s">
        <v>552</v>
      </c>
      <c r="B6" s="646">
        <f>'t14'!D4</f>
        <v>2331</v>
      </c>
      <c r="C6" s="1566"/>
      <c r="D6" s="1568"/>
      <c r="E6" s="914" t="s">
        <v>551</v>
      </c>
      <c r="G6" s="1569"/>
    </row>
    <row r="7" spans="1:12" s="645" customFormat="1" ht="23.25" customHeight="1" x14ac:dyDescent="0.2">
      <c r="A7" s="567" t="s">
        <v>553</v>
      </c>
      <c r="B7" s="646">
        <f>'t14'!D5</f>
        <v>366876</v>
      </c>
      <c r="C7" s="649"/>
      <c r="D7" s="913"/>
      <c r="E7" s="917" t="s">
        <v>164</v>
      </c>
      <c r="F7"/>
      <c r="G7" s="647"/>
    </row>
    <row r="8" spans="1:12" s="645" customFormat="1" ht="23.25" customHeight="1" x14ac:dyDescent="0.2">
      <c r="A8" s="567" t="s">
        <v>142</v>
      </c>
      <c r="B8" s="646">
        <f>'t14'!D6</f>
        <v>1449829</v>
      </c>
      <c r="C8" s="649"/>
      <c r="D8" s="756"/>
      <c r="E8" s="917" t="s">
        <v>165</v>
      </c>
      <c r="F8"/>
      <c r="G8" s="647"/>
    </row>
    <row r="9" spans="1:12" s="645" customFormat="1" ht="23.25" customHeight="1" x14ac:dyDescent="0.2">
      <c r="A9" s="648" t="s">
        <v>146</v>
      </c>
      <c r="B9" s="646">
        <f>'t14'!D7</f>
        <v>356407</v>
      </c>
      <c r="C9" s="649"/>
      <c r="D9" s="756"/>
      <c r="E9" s="917" t="s">
        <v>166</v>
      </c>
      <c r="F9"/>
      <c r="G9" s="647"/>
    </row>
    <row r="10" spans="1:12" s="645" customFormat="1" ht="23.25" hidden="1" customHeight="1" x14ac:dyDescent="0.2">
      <c r="A10" s="567" t="s">
        <v>145</v>
      </c>
      <c r="B10" s="832"/>
      <c r="C10" s="912"/>
      <c r="D10" s="756"/>
      <c r="E10" s="914" t="s">
        <v>167</v>
      </c>
      <c r="F10"/>
      <c r="G10" s="647"/>
    </row>
    <row r="11" spans="1:12" s="645" customFormat="1" ht="23.25" hidden="1" customHeight="1" x14ac:dyDescent="0.2">
      <c r="A11" s="567" t="s">
        <v>144</v>
      </c>
      <c r="B11" s="832"/>
      <c r="C11" s="912"/>
      <c r="D11" s="756"/>
      <c r="E11" s="914" t="s">
        <v>168</v>
      </c>
      <c r="F11"/>
      <c r="G11" s="647"/>
    </row>
    <row r="12" spans="1:12" s="645" customFormat="1" ht="23.25" hidden="1" customHeight="1" x14ac:dyDescent="0.2">
      <c r="A12" s="567" t="s">
        <v>581</v>
      </c>
      <c r="B12" s="831"/>
      <c r="C12" s="912"/>
      <c r="D12" s="756"/>
      <c r="E12" s="914" t="s">
        <v>156</v>
      </c>
      <c r="F12"/>
      <c r="G12" s="647"/>
    </row>
    <row r="13" spans="1:12" s="645" customFormat="1" ht="23.25" hidden="1" customHeight="1" x14ac:dyDescent="0.2">
      <c r="A13" s="567" t="s">
        <v>169</v>
      </c>
      <c r="B13" s="912"/>
      <c r="C13" s="912"/>
      <c r="D13" s="756"/>
      <c r="E13" s="914" t="s">
        <v>170</v>
      </c>
      <c r="F13"/>
      <c r="G13" s="647"/>
    </row>
    <row r="14" spans="1:12" s="645" customFormat="1" ht="23.25" customHeight="1" thickBot="1" x14ac:dyDescent="0.25">
      <c r="A14" s="1328" t="s">
        <v>1057</v>
      </c>
      <c r="B14" s="650">
        <f>'t14'!D12</f>
        <v>118684</v>
      </c>
      <c r="C14" s="649"/>
      <c r="D14" s="756"/>
      <c r="E14" s="917" t="s">
        <v>1055</v>
      </c>
      <c r="F14"/>
      <c r="G14" s="647"/>
    </row>
    <row r="15" spans="1:12" s="645" customFormat="1" ht="23.25" customHeight="1" thickBot="1" x14ac:dyDescent="0.25">
      <c r="A15" s="1328" t="s">
        <v>1058</v>
      </c>
      <c r="B15" s="646">
        <f>'t14'!D13</f>
        <v>502102</v>
      </c>
      <c r="C15" s="649"/>
      <c r="D15" s="756"/>
      <c r="E15" s="917" t="s">
        <v>1056</v>
      </c>
      <c r="F15"/>
      <c r="G15" s="647"/>
    </row>
    <row r="16" spans="1:12" s="645" customFormat="1" ht="23.25" hidden="1" customHeight="1" x14ac:dyDescent="0.2">
      <c r="A16" s="567" t="s">
        <v>554</v>
      </c>
      <c r="B16" s="912"/>
      <c r="C16" s="912"/>
      <c r="D16" s="756"/>
      <c r="E16" s="914" t="s">
        <v>4</v>
      </c>
      <c r="F16"/>
      <c r="G16" s="647"/>
    </row>
    <row r="17" spans="1:7" ht="23.25" hidden="1" customHeight="1" x14ac:dyDescent="0.2">
      <c r="A17" s="567" t="s">
        <v>103</v>
      </c>
      <c r="B17" s="912"/>
      <c r="C17" s="912"/>
      <c r="D17" s="756"/>
      <c r="E17" s="914" t="s">
        <v>171</v>
      </c>
      <c r="G17" s="647"/>
    </row>
    <row r="18" spans="1:7" s="3" customFormat="1" ht="23.25" customHeight="1" x14ac:dyDescent="0.2">
      <c r="A18" s="567" t="s">
        <v>583</v>
      </c>
      <c r="B18" s="646">
        <f>'t14'!D16</f>
        <v>7135147</v>
      </c>
      <c r="C18" s="649"/>
      <c r="D18" s="756"/>
      <c r="E18" s="917" t="s">
        <v>153</v>
      </c>
      <c r="F18"/>
      <c r="G18" s="647"/>
    </row>
    <row r="19" spans="1:7" ht="23.25" hidden="1" customHeight="1" x14ac:dyDescent="0.2">
      <c r="A19" s="567" t="s">
        <v>427</v>
      </c>
      <c r="B19" s="912"/>
      <c r="C19" s="912"/>
      <c r="D19" s="756"/>
      <c r="E19" s="914" t="s">
        <v>154</v>
      </c>
      <c r="G19" s="647"/>
    </row>
    <row r="20" spans="1:7" ht="23.25" hidden="1" customHeight="1" x14ac:dyDescent="0.2">
      <c r="A20" s="567" t="s">
        <v>143</v>
      </c>
      <c r="B20" s="912"/>
      <c r="C20" s="912"/>
      <c r="D20" s="756"/>
      <c r="E20" s="914" t="s">
        <v>163</v>
      </c>
      <c r="G20" s="647"/>
    </row>
    <row r="21" spans="1:7" ht="23.25" customHeight="1" x14ac:dyDescent="0.2">
      <c r="A21" s="567" t="s">
        <v>605</v>
      </c>
      <c r="B21" s="646">
        <f>'t14'!D19</f>
        <v>658681</v>
      </c>
      <c r="C21" s="649"/>
      <c r="D21" s="756"/>
      <c r="E21" s="917" t="s">
        <v>606</v>
      </c>
      <c r="G21" s="647"/>
    </row>
    <row r="22" spans="1:7" ht="23.25" customHeight="1" x14ac:dyDescent="0.2">
      <c r="A22" s="567" t="s">
        <v>555</v>
      </c>
      <c r="B22" s="646">
        <f>'t14'!D20</f>
        <v>25240902</v>
      </c>
      <c r="C22" s="647"/>
      <c r="D22" s="756"/>
      <c r="E22" s="917" t="s">
        <v>159</v>
      </c>
      <c r="G22" s="647"/>
    </row>
    <row r="23" spans="1:7" ht="23.25" hidden="1" customHeight="1" x14ac:dyDescent="0.2">
      <c r="A23" s="567" t="s">
        <v>584</v>
      </c>
      <c r="B23" s="646">
        <f>'t14'!D21</f>
        <v>61725</v>
      </c>
      <c r="C23" s="649"/>
      <c r="D23" s="757"/>
      <c r="E23" s="914" t="s">
        <v>160</v>
      </c>
      <c r="G23" s="649"/>
    </row>
    <row r="24" spans="1:7" ht="23.25" customHeight="1" x14ac:dyDescent="0.2">
      <c r="A24" s="567" t="s">
        <v>556</v>
      </c>
      <c r="B24" s="646">
        <f>'t14'!D22</f>
        <v>7703638</v>
      </c>
      <c r="C24" s="649"/>
      <c r="D24" s="757"/>
      <c r="E24" s="917" t="s">
        <v>161</v>
      </c>
      <c r="G24" s="649"/>
    </row>
    <row r="25" spans="1:7" s="645" customFormat="1" ht="23.25" customHeight="1" x14ac:dyDescent="0.2">
      <c r="A25" s="567" t="s">
        <v>582</v>
      </c>
      <c r="B25" s="646">
        <f>'t14'!D23</f>
        <v>0</v>
      </c>
      <c r="C25" s="649"/>
      <c r="D25" s="757"/>
      <c r="E25" s="917" t="s">
        <v>155</v>
      </c>
      <c r="G25" s="918"/>
    </row>
    <row r="26" spans="1:7" ht="23.25" customHeight="1" x14ac:dyDescent="0.2">
      <c r="A26" s="651" t="s">
        <v>585</v>
      </c>
      <c r="B26" s="646">
        <f>'t14'!D24</f>
        <v>0</v>
      </c>
      <c r="C26" s="649"/>
      <c r="D26" s="757"/>
      <c r="E26" s="917" t="s">
        <v>157</v>
      </c>
      <c r="G26" s="649"/>
    </row>
    <row r="27" spans="1:7" ht="23.25" customHeight="1" thickBot="1" x14ac:dyDescent="0.25">
      <c r="A27" s="570" t="s">
        <v>557</v>
      </c>
      <c r="B27" s="652">
        <f>'t14'!D25+'t14'!D26</f>
        <v>169723</v>
      </c>
      <c r="C27" s="653"/>
      <c r="D27" s="758"/>
      <c r="E27" s="914" t="s">
        <v>558</v>
      </c>
      <c r="G27" s="653"/>
    </row>
    <row r="28" spans="1:7" ht="15.95" customHeight="1" thickBot="1" x14ac:dyDescent="0.25">
      <c r="A28" s="654" t="s">
        <v>559</v>
      </c>
      <c r="B28" s="655">
        <f>SUM(B4:B27)</f>
        <v>131083571</v>
      </c>
      <c r="C28" s="655">
        <f>SUM(C4:C27)</f>
        <v>0</v>
      </c>
      <c r="D28" s="656"/>
      <c r="E28" s="914" t="s">
        <v>551</v>
      </c>
      <c r="G28" s="655">
        <f>SUM(G4:G27)</f>
        <v>0</v>
      </c>
    </row>
    <row r="29" spans="1:7" ht="15.95" customHeight="1" x14ac:dyDescent="0.2">
      <c r="A29" s="657"/>
      <c r="B29" s="657"/>
      <c r="C29" s="657"/>
      <c r="D29" s="658"/>
      <c r="E29" s="914" t="s">
        <v>551</v>
      </c>
      <c r="G29" s="657"/>
    </row>
    <row r="30" spans="1:7" ht="23.25" customHeight="1" thickBot="1" x14ac:dyDescent="0.25">
      <c r="A30" s="659" t="s">
        <v>560</v>
      </c>
      <c r="B30" s="646">
        <f>'t14'!D27+'t14'!D28+'t14'!D29</f>
        <v>445495</v>
      </c>
      <c r="C30" s="653"/>
      <c r="D30" s="758"/>
      <c r="E30" s="914" t="s">
        <v>561</v>
      </c>
      <c r="G30" s="653"/>
    </row>
    <row r="31" spans="1:7" ht="15.95" customHeight="1" thickBot="1" x14ac:dyDescent="0.3">
      <c r="A31" s="654" t="s">
        <v>562</v>
      </c>
      <c r="B31" s="655">
        <f>B28-B30</f>
        <v>130638076</v>
      </c>
      <c r="C31" s="655">
        <f>C28-C30</f>
        <v>0</v>
      </c>
      <c r="D31" s="660"/>
      <c r="E31" s="916"/>
      <c r="G31" s="655">
        <f>G28-G30</f>
        <v>0</v>
      </c>
    </row>
    <row r="32" spans="1:7" x14ac:dyDescent="0.25">
      <c r="F32" s="661">
        <f>IF(AND(C28=0,C31=0,D4="",D7="",D8="",D9="",D10="",D11="",D12="",D13="",D14="",D15="",D16="",D17="",D18="",D19="",D20="",D21="",D22="",D23="",D24="",D25="",D26="",D27="",D30=""),0,1)</f>
        <v>0</v>
      </c>
    </row>
    <row r="33" spans="1:1" x14ac:dyDescent="0.25">
      <c r="A33" t="s">
        <v>179</v>
      </c>
    </row>
  </sheetData>
  <sheetProtection algorithmName="SHA-512" hashValue="MFlEdW5iO1lk2EUr9+lON5McygyXdS/wnJ8rElgWs6i2sg8M/DqESPb6OOQ1ql+4UqZtcLaDWQK4cFKL6GDX8A==" saltValue="Ae/A6aN1YanpgrZInbiBcw==" spinCount="100000" sheet="1" formatColumns="0" selectLockedCells="1"/>
  <mergeCells count="5">
    <mergeCell ref="A1:D1"/>
    <mergeCell ref="A2:D2"/>
    <mergeCell ref="C4:C6"/>
    <mergeCell ref="D4:D6"/>
    <mergeCell ref="G4:G6"/>
  </mergeCells>
  <phoneticPr fontId="0" type="noConversion"/>
  <dataValidations count="3">
    <dataValidation type="whole" allowBlank="1" showInputMessage="1" showErrorMessage="1" errorTitle="ERRORE NEL DATO IMMESSO" error="INSERIRE SOLO NUMERI INTERI" sqref="C30 C4:C9 C14:C15 C18 C21:C27">
      <formula1>0</formula1>
      <formula2>99999999999999900000</formula2>
    </dataValidation>
    <dataValidation type="textLength" allowBlank="1" showInputMessage="1" showErrorMessage="1" errorTitle="ATTENZIONE ! ! !" error="E' stato superato il limite di 500 caratteri" sqref="D27 D30">
      <formula1>0</formula1>
      <formula2>500</formula2>
    </dataValidation>
    <dataValidation type="textLength" allowBlank="1" showInputMessage="1" showErrorMessage="1" errorTitle="ATTENZIONE ! ! ! " error="E' stato superato il limite di 500 caratteri" sqref="D4:D9 D14:D15 D18 D21:D26">
      <formula1>0</formula1>
      <formula2>500</formula2>
    </dataValidation>
  </dataValidations>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6">
    <tabColor rgb="FFCC0099"/>
  </sheetPr>
  <dimension ref="A1:Y36"/>
  <sheetViews>
    <sheetView showGridLines="0" workbookViewId="0">
      <pane xSplit="2" ySplit="5" topLeftCell="J6" activePane="bottomRight" state="frozen"/>
      <selection activeCell="A2" sqref="A2"/>
      <selection pane="topRight" activeCell="A2" sqref="A2"/>
      <selection pane="bottomLeft" activeCell="A2" sqref="A2"/>
      <selection pane="bottomRight" activeCell="C6" sqref="C6"/>
    </sheetView>
  </sheetViews>
  <sheetFormatPr defaultRowHeight="11.25" x14ac:dyDescent="0.2"/>
  <cols>
    <col min="1" max="1" width="52" style="3" customWidth="1"/>
    <col min="2" max="2" width="10" style="2" customWidth="1"/>
    <col min="3" max="5" width="13.33203125" style="2" customWidth="1"/>
    <col min="6" max="8" width="11.6640625" style="2" customWidth="1"/>
    <col min="9" max="15" width="13.6640625" style="2" customWidth="1"/>
    <col min="16" max="20" width="14.6640625" style="2" customWidth="1"/>
    <col min="21" max="21" width="9.33203125" style="89" customWidth="1"/>
  </cols>
  <sheetData>
    <row r="1" spans="1:24" s="3" customFormat="1" ht="43.5" customHeight="1" x14ac:dyDescent="0.2">
      <c r="A1" s="1486" t="str">
        <f>'t1'!A1</f>
        <v>REGIONE VALLE D'AOSTA - anno 2024</v>
      </c>
      <c r="B1" s="1486"/>
      <c r="C1" s="1486"/>
      <c r="D1" s="1486"/>
      <c r="E1" s="1486"/>
      <c r="F1" s="1486"/>
      <c r="G1" s="1486"/>
      <c r="H1" s="1486"/>
      <c r="I1" s="1486"/>
      <c r="J1" s="300"/>
      <c r="K1" s="300"/>
      <c r="L1" s="300"/>
      <c r="M1" s="300"/>
      <c r="N1" s="300"/>
      <c r="O1" s="300"/>
      <c r="P1" s="300"/>
      <c r="Q1" s="300"/>
      <c r="R1" s="300"/>
      <c r="S1" s="300"/>
      <c r="T1" s="300"/>
      <c r="X1"/>
    </row>
    <row r="2" spans="1:24" s="3" customFormat="1" ht="21" customHeight="1" x14ac:dyDescent="0.2">
      <c r="I2" s="499"/>
      <c r="J2" s="499"/>
      <c r="K2" s="499"/>
      <c r="L2" s="499"/>
      <c r="M2" s="499"/>
      <c r="N2" s="499"/>
      <c r="O2" s="499"/>
      <c r="P2" s="499"/>
      <c r="Q2" s="499"/>
      <c r="R2" s="499"/>
      <c r="S2" s="499"/>
      <c r="T2" s="499"/>
      <c r="U2" s="274"/>
      <c r="X2"/>
    </row>
    <row r="3" spans="1:24" s="3" customFormat="1" ht="21" customHeight="1" x14ac:dyDescent="0.25">
      <c r="A3" s="168" t="s">
        <v>371</v>
      </c>
      <c r="B3" s="2"/>
      <c r="C3" s="2"/>
      <c r="D3" s="2"/>
    </row>
    <row r="4" spans="1:24" s="3" customFormat="1" ht="21" customHeight="1" x14ac:dyDescent="0.25">
      <c r="A4" s="168"/>
      <c r="B4" s="2"/>
      <c r="C4" s="2"/>
      <c r="D4" s="2"/>
      <c r="F4" s="1570" t="s">
        <v>372</v>
      </c>
      <c r="G4" s="1571"/>
      <c r="H4" s="1572"/>
      <c r="I4" s="1570" t="s">
        <v>493</v>
      </c>
      <c r="J4" s="1571"/>
      <c r="K4" s="1571"/>
      <c r="L4" s="1571"/>
      <c r="M4" s="1571"/>
      <c r="N4" s="1571"/>
      <c r="O4" s="1572"/>
      <c r="P4" s="1570" t="s">
        <v>494</v>
      </c>
      <c r="Q4" s="1571"/>
      <c r="R4" s="1571"/>
      <c r="S4" s="1571"/>
      <c r="T4" s="1572"/>
    </row>
    <row r="5" spans="1:24" ht="63" x14ac:dyDescent="0.15">
      <c r="A5" s="500" t="s">
        <v>229</v>
      </c>
      <c r="B5" s="501" t="s">
        <v>191</v>
      </c>
      <c r="C5" s="502" t="str">
        <f>"presenti al 31/12/"&amp;'t1'!L1&amp;" (tab.1)"</f>
        <v>presenti al 31/12/2024 (tab.1)</v>
      </c>
      <c r="D5" s="502" t="s">
        <v>13</v>
      </c>
      <c r="E5" s="501" t="s">
        <v>373</v>
      </c>
      <c r="F5" s="503" t="str">
        <f>'t11'!C4</f>
        <v>FERIE</v>
      </c>
      <c r="G5" s="503" t="s">
        <v>374</v>
      </c>
      <c r="H5" s="503" t="s">
        <v>375</v>
      </c>
      <c r="I5" s="503" t="s">
        <v>745</v>
      </c>
      <c r="J5" s="503" t="str">
        <f>'t12'!E4</f>
        <v>R.I.A.</v>
      </c>
      <c r="K5" s="503" t="str">
        <f>'t12'!F4</f>
        <v>PROGRESSIONE CLASSI E SCATTI / FASCE / DIFFERENZIALI STIPENDIALI</v>
      </c>
      <c r="L5" s="503" t="str">
        <f>'t12'!G4</f>
        <v>TREDICESIMA MENSILITA'</v>
      </c>
      <c r="M5" s="504" t="s">
        <v>376</v>
      </c>
      <c r="N5" s="505" t="str">
        <f>'t12'!H4</f>
        <v>ARRETRATI  ANNI PRECEDENTI</v>
      </c>
      <c r="O5" s="505" t="str">
        <f>'t12'!I4</f>
        <v>RECUPERI DERIVANTI DA ASSENZE, RITARDI, ECC.</v>
      </c>
      <c r="P5" s="503" t="s">
        <v>328</v>
      </c>
      <c r="Q5" s="503" t="s">
        <v>377</v>
      </c>
      <c r="R5" s="503" t="s">
        <v>378</v>
      </c>
      <c r="S5" s="504" t="s">
        <v>379</v>
      </c>
      <c r="T5" s="505" t="str">
        <f>'t13'!U4</f>
        <v>ARRETRATI ANNI PRECEDENTI</v>
      </c>
    </row>
    <row r="6" spans="1:24" x14ac:dyDescent="0.2">
      <c r="A6" s="112" t="str">
        <f>'t1'!A6</f>
        <v>SEGRETARIO I FASCIA</v>
      </c>
      <c r="B6" s="86" t="str">
        <f>'t1'!B6</f>
        <v>0D0102</v>
      </c>
      <c r="C6" s="506">
        <f>'t1'!K6+'t1'!L6</f>
        <v>0</v>
      </c>
      <c r="D6" s="506">
        <f>('t1'!K6+'t1'!L6)-SUM('t3'!C6:F6,'t3'!I6:J6)+SUM('t3'!K6:N6)</f>
        <v>0</v>
      </c>
      <c r="E6" s="507">
        <f>'t12'!C6/12</f>
        <v>0</v>
      </c>
      <c r="F6" s="507" t="str">
        <f>IF($D6&gt;0,(('t11'!C8+'t11'!D8)/$D6)," ")</f>
        <v xml:space="preserve"> </v>
      </c>
      <c r="G6" s="507" t="str">
        <f>IF($D6&gt;0,(SUM('t11'!E8:P8)/$D6)," ")</f>
        <v xml:space="preserve"> </v>
      </c>
      <c r="H6" s="507" t="str">
        <f>IF($D6&gt;0,(SUM('t11'!Q8:T8)/$D6)," ")</f>
        <v xml:space="preserve"> </v>
      </c>
      <c r="I6" s="508" t="str">
        <f>IF($E6=0," ",('t12'!D6+'t12'!#REF!)/$E6)</f>
        <v xml:space="preserve"> </v>
      </c>
      <c r="J6" s="508" t="str">
        <f>IF($E6=0," ",'t12'!E6/$E6)</f>
        <v xml:space="preserve"> </v>
      </c>
      <c r="K6" s="508" t="str">
        <f>IF($E6=0," ",'t12'!F6/$E6)</f>
        <v xml:space="preserve"> </v>
      </c>
      <c r="L6" s="508" t="str">
        <f>IF($E6=0," ",'t12'!G6/$E6)</f>
        <v xml:space="preserve"> </v>
      </c>
      <c r="M6" s="509">
        <f>SUM(I6:L6)</f>
        <v>0</v>
      </c>
      <c r="N6" s="510" t="str">
        <f>IF($E6=0," ",'t12'!H6/$E6)</f>
        <v xml:space="preserve"> </v>
      </c>
      <c r="O6" s="510" t="str">
        <f>IF($E6=0," ",'t12'!I6/$E6)</f>
        <v xml:space="preserve"> </v>
      </c>
      <c r="P6" s="508" t="str">
        <f>IF($E6=0," ",'t13'!W6/$E6)</f>
        <v xml:space="preserve"> </v>
      </c>
      <c r="Q6" s="508" t="str">
        <f>IF($E6=0," ",SUM('t13'!C6:L6)/$E6)</f>
        <v xml:space="preserve"> </v>
      </c>
      <c r="R6" s="508" t="str">
        <f>IF($E6=0," ",(SUM('t13'!M6:T6)+'t13'!V6)/$E6)</f>
        <v xml:space="preserve"> </v>
      </c>
      <c r="S6" s="509">
        <f>SUM(P6:R6)</f>
        <v>0</v>
      </c>
      <c r="T6" s="510" t="str">
        <f>IF($E6=0," ",'t13'!U6/$E6)</f>
        <v xml:space="preserve"> </v>
      </c>
    </row>
    <row r="7" spans="1:24" x14ac:dyDescent="0.2">
      <c r="A7" s="112" t="str">
        <f>'t1'!A7</f>
        <v>SEGRETARIO II FASCIA</v>
      </c>
      <c r="B7" s="86" t="str">
        <f>'t1'!B7</f>
        <v>0D0103</v>
      </c>
      <c r="C7" s="506">
        <f>'t1'!K7+'t1'!L7</f>
        <v>0</v>
      </c>
      <c r="D7" s="506">
        <f>('t1'!K7+'t1'!L7)-SUM('t3'!C7:F7,'t3'!I7:J7)+SUM('t3'!K7:N7)</f>
        <v>0</v>
      </c>
      <c r="E7" s="507">
        <f>'t12'!C7/12</f>
        <v>0</v>
      </c>
      <c r="F7" s="507" t="str">
        <f>IF($D7&gt;0,(('t11'!C9+'t11'!D9)/$D7)," ")</f>
        <v xml:space="preserve"> </v>
      </c>
      <c r="G7" s="507" t="str">
        <f>IF($D7&gt;0,(SUM('t11'!E9:P9)/$D7)," ")</f>
        <v xml:space="preserve"> </v>
      </c>
      <c r="H7" s="507" t="str">
        <f>IF($D7&gt;0,(SUM('t11'!Q9:T9)/$D7)," ")</f>
        <v xml:space="preserve"> </v>
      </c>
      <c r="I7" s="508" t="str">
        <f>IF($E7=0," ",('t12'!D7+'t12'!#REF!)/$E7)</f>
        <v xml:space="preserve"> </v>
      </c>
      <c r="J7" s="508" t="str">
        <f>IF($E7=0," ",'t12'!E7/$E7)</f>
        <v xml:space="preserve"> </v>
      </c>
      <c r="K7" s="508" t="str">
        <f>IF($E7=0," ",'t12'!F7/$E7)</f>
        <v xml:space="preserve"> </v>
      </c>
      <c r="L7" s="508" t="str">
        <f>IF($E7=0," ",'t12'!G7/$E7)</f>
        <v xml:space="preserve"> </v>
      </c>
      <c r="M7" s="509">
        <f>SUM(I7:L7)</f>
        <v>0</v>
      </c>
      <c r="N7" s="510" t="str">
        <f>IF($E7=0," ",'t12'!H7/$E7)</f>
        <v xml:space="preserve"> </v>
      </c>
      <c r="O7" s="510" t="str">
        <f>IF($E7=0," ",'t12'!I7/$E7)</f>
        <v xml:space="preserve"> </v>
      </c>
      <c r="P7" s="508" t="str">
        <f>IF($E7=0," ",'t13'!W7/$E7)</f>
        <v xml:space="preserve"> </v>
      </c>
      <c r="Q7" s="508" t="str">
        <f>IF($E7=0," ",SUM('t13'!C7:L7)/$E7)</f>
        <v xml:space="preserve"> </v>
      </c>
      <c r="R7" s="508" t="str">
        <f>IF($E7=0," ",(SUM('t13'!M7:T7)+'t13'!V7)/$E7)</f>
        <v xml:space="preserve"> </v>
      </c>
      <c r="S7" s="509">
        <f>SUM(P7:R7)</f>
        <v>0</v>
      </c>
      <c r="T7" s="510" t="str">
        <f>IF($E7=0," ",'t13'!U7/$E7)</f>
        <v xml:space="preserve"> </v>
      </c>
    </row>
    <row r="8" spans="1:24" x14ac:dyDescent="0.2">
      <c r="A8" s="112" t="str">
        <f>'t1'!A8</f>
        <v>SEGRETARIO III FASCIA</v>
      </c>
      <c r="B8" s="86" t="str">
        <f>'t1'!B8</f>
        <v>0D0485</v>
      </c>
      <c r="C8" s="506">
        <f>'t1'!K8+'t1'!L8</f>
        <v>0</v>
      </c>
      <c r="D8" s="506">
        <f>('t1'!K8+'t1'!L8)-SUM('t3'!C8:F8,'t3'!I8:J8)+SUM('t3'!K8:N8)</f>
        <v>0</v>
      </c>
      <c r="E8" s="507">
        <f>'t12'!C8/12</f>
        <v>0</v>
      </c>
      <c r="F8" s="507" t="str">
        <f>IF($D8&gt;0,(('t11'!C10+'t11'!D10)/$D8)," ")</f>
        <v xml:space="preserve"> </v>
      </c>
      <c r="G8" s="507" t="str">
        <f>IF($D8&gt;0,(SUM('t11'!E10:P10)/$D8)," ")</f>
        <v xml:space="preserve"> </v>
      </c>
      <c r="H8" s="507" t="str">
        <f>IF($D8&gt;0,(SUM('t11'!Q10:T10)/$D8)," ")</f>
        <v xml:space="preserve"> </v>
      </c>
      <c r="I8" s="508" t="str">
        <f>IF($E8=0," ",('t12'!D8+'t12'!#REF!)/$E8)</f>
        <v xml:space="preserve"> </v>
      </c>
      <c r="J8" s="508" t="str">
        <f>IF($E8=0," ",'t12'!E8/$E8)</f>
        <v xml:space="preserve"> </v>
      </c>
      <c r="K8" s="508" t="str">
        <f>IF($E8=0," ",'t12'!F8/$E8)</f>
        <v xml:space="preserve"> </v>
      </c>
      <c r="L8" s="508" t="str">
        <f>IF($E8=0," ",'t12'!G8/$E8)</f>
        <v xml:space="preserve"> </v>
      </c>
      <c r="M8" s="509">
        <f>SUM(I8:L8)</f>
        <v>0</v>
      </c>
      <c r="N8" s="510" t="str">
        <f>IF($E8=0," ",'t12'!H8/$E8)</f>
        <v xml:space="preserve"> </v>
      </c>
      <c r="O8" s="510" t="str">
        <f>IF($E8=0," ",'t12'!I8/$E8)</f>
        <v xml:space="preserve"> </v>
      </c>
      <c r="P8" s="508" t="str">
        <f>IF($E8=0," ",'t13'!W8/$E8)</f>
        <v xml:space="preserve"> </v>
      </c>
      <c r="Q8" s="508" t="str">
        <f>IF($E8=0," ",SUM('t13'!C8:L8)/$E8)</f>
        <v xml:space="preserve"> </v>
      </c>
      <c r="R8" s="508" t="str">
        <f>IF($E8=0," ",(SUM('t13'!M8:T8)+'t13'!V8)/$E8)</f>
        <v xml:space="preserve"> </v>
      </c>
      <c r="S8" s="509">
        <f>SUM(P8:R8)</f>
        <v>0</v>
      </c>
      <c r="T8" s="510" t="str">
        <f>IF($E8=0," ",'t13'!U8/$E8)</f>
        <v xml:space="preserve"> </v>
      </c>
    </row>
    <row r="9" spans="1:24" x14ac:dyDescent="0.2">
      <c r="A9" s="112" t="str">
        <f>'t1'!A9</f>
        <v>DIRIGENTI</v>
      </c>
      <c r="B9" s="86" t="str">
        <f>'t1'!B9</f>
        <v>0D0164</v>
      </c>
      <c r="C9" s="506">
        <f>'t1'!K9+'t1'!L9</f>
        <v>112</v>
      </c>
      <c r="D9" s="506">
        <f>('t1'!K9+'t1'!L9)-SUM('t3'!C9:F9,'t3'!I9:J9)+SUM('t3'!K9:N9)</f>
        <v>112</v>
      </c>
      <c r="E9" s="507">
        <f>'t12'!C9/12</f>
        <v>109.03</v>
      </c>
      <c r="F9" s="507">
        <f>IF($D9&gt;0,(('t11'!C11+'t11'!D11)/$D9)," ")</f>
        <v>20.36</v>
      </c>
      <c r="G9" s="507">
        <f>IF($D9&gt;0,(SUM('t11'!E11:P11)/$D9)," ")</f>
        <v>6.11</v>
      </c>
      <c r="H9" s="507">
        <f>IF($D9&gt;0,(SUM('t11'!Q11:T11)/$D9)," ")</f>
        <v>10.5</v>
      </c>
      <c r="I9" s="508" t="e">
        <f>IF($E9=0," ",('t12'!D9+'t12'!#REF!)/$E9)</f>
        <v>#REF!</v>
      </c>
      <c r="J9" s="508">
        <f>IF($E9=0," ",'t12'!E9/$E9)</f>
        <v>140</v>
      </c>
      <c r="K9" s="508">
        <f>IF($E9=0," ",'t12'!F9/$E9)</f>
        <v>0</v>
      </c>
      <c r="L9" s="508">
        <f>IF($E9=0," ",'t12'!G9/$E9)</f>
        <v>5941</v>
      </c>
      <c r="M9" s="509" t="e">
        <f>SUM(I9:L9)</f>
        <v>#REF!</v>
      </c>
      <c r="N9" s="510">
        <f>IF($E9=0," ",'t12'!H9/$E9)</f>
        <v>7822</v>
      </c>
      <c r="O9" s="510">
        <f>IF($E9=0," ",'t12'!I9/$E9)</f>
        <v>0</v>
      </c>
      <c r="P9" s="508">
        <f>IF($E9=0," ",'t13'!W9/$E9)</f>
        <v>0</v>
      </c>
      <c r="Q9" s="508">
        <f>IF($E9=0," ",SUM('t13'!C9:L9)/$E9)</f>
        <v>34140</v>
      </c>
      <c r="R9" s="508">
        <f>IF($E9=0," ",(SUM('t13'!M9:T9)+'t13'!V9)/$E9)</f>
        <v>1103</v>
      </c>
      <c r="S9" s="509">
        <f>SUM(P9:R9)</f>
        <v>35243</v>
      </c>
      <c r="T9" s="510">
        <f>IF($E9=0," ",'t13'!U9/$E9)</f>
        <v>1577</v>
      </c>
    </row>
    <row r="10" spans="1:24" x14ac:dyDescent="0.2">
      <c r="A10" s="112" t="str">
        <f>'t1'!A10</f>
        <v>POSIZIONE ECONOMICA D</v>
      </c>
      <c r="B10" s="86" t="str">
        <f>'t1'!B10</f>
        <v>047000</v>
      </c>
      <c r="C10" s="506">
        <f>'t1'!K10+'t1'!L10</f>
        <v>460</v>
      </c>
      <c r="D10" s="506">
        <f>('t1'!K10+'t1'!L10)-SUM('t3'!C10:F10,'t3'!I10:J10)+SUM('t3'!K10:N10)</f>
        <v>457</v>
      </c>
      <c r="E10" s="507">
        <f>'t12'!C10/12</f>
        <v>417.81</v>
      </c>
      <c r="F10" s="507">
        <f>IF($D10&gt;0,(('t11'!C12+'t11'!D12)/$D10)," ")</f>
        <v>27.68</v>
      </c>
      <c r="G10" s="507">
        <f>IF($D10&gt;0,(SUM('t11'!E12:P12)/$D10)," ")</f>
        <v>15.4</v>
      </c>
      <c r="H10" s="507">
        <f>IF($D10&gt;0,(SUM('t11'!Q12:T12)/$D10)," ")</f>
        <v>7.69</v>
      </c>
      <c r="I10" s="508" t="e">
        <f>IF($E10=0," ",('t12'!D10+'t12'!#REF!)/$E10)</f>
        <v>#REF!</v>
      </c>
      <c r="J10" s="508">
        <f>IF($E10=0," ",'t12'!E10/$E10)</f>
        <v>81</v>
      </c>
      <c r="K10" s="508">
        <f>IF($E10=0," ",'t12'!F10/$E10)</f>
        <v>1471</v>
      </c>
      <c r="L10" s="508">
        <f>IF($E10=0," ",'t12'!G10/$E10)</f>
        <v>2555</v>
      </c>
      <c r="M10" s="509" t="e">
        <f t="shared" ref="M10:M33" si="0">SUM(I10:L10)</f>
        <v>#REF!</v>
      </c>
      <c r="N10" s="510">
        <f>IF($E10=0," ",'t12'!H10/$E10)</f>
        <v>98</v>
      </c>
      <c r="O10" s="510">
        <f>IF($E10=0," ",'t12'!I10/$E10)</f>
        <v>12</v>
      </c>
      <c r="P10" s="508">
        <f>IF($E10=0," ",'t13'!W10/$E10)</f>
        <v>756</v>
      </c>
      <c r="Q10" s="508">
        <f>IF($E10=0," ",SUM('t13'!C10:L10)/$E10)</f>
        <v>4140</v>
      </c>
      <c r="R10" s="508">
        <f>IF($E10=0," ",(SUM('t13'!M10:T10)+'t13'!V10)/$E10)</f>
        <v>2223</v>
      </c>
      <c r="S10" s="509">
        <f t="shared" ref="S10:S25" si="1">SUM(P10:R10)</f>
        <v>7119</v>
      </c>
      <c r="T10" s="510">
        <f>IF($E10=0," ",'t13'!U10/$E10)</f>
        <v>25</v>
      </c>
    </row>
    <row r="11" spans="1:24" x14ac:dyDescent="0.2">
      <c r="A11" s="112" t="str">
        <f>'t1'!A11</f>
        <v>POSIZIONE ECONOMICA D - FORESTALE</v>
      </c>
      <c r="B11" s="86" t="str">
        <f>'t1'!B11</f>
        <v>047FOR</v>
      </c>
      <c r="C11" s="506">
        <f>'t1'!K11+'t1'!L11</f>
        <v>0</v>
      </c>
      <c r="D11" s="506">
        <f>('t1'!K11+'t1'!L11)-SUM('t3'!C11:F11,'t3'!I11:J11)+SUM('t3'!K11:N11)</f>
        <v>0</v>
      </c>
      <c r="E11" s="507">
        <f>'t12'!C11/12</f>
        <v>0</v>
      </c>
      <c r="F11" s="507" t="str">
        <f>IF($D11&gt;0,(('t11'!C13+'t11'!D13)/$D11)," ")</f>
        <v xml:space="preserve"> </v>
      </c>
      <c r="G11" s="507" t="str">
        <f>IF($D11&gt;0,(SUM('t11'!E13:P13)/$D11)," ")</f>
        <v xml:space="preserve"> </v>
      </c>
      <c r="H11" s="507" t="str">
        <f>IF($D11&gt;0,(SUM('t11'!Q13:T13)/$D11)," ")</f>
        <v xml:space="preserve"> </v>
      </c>
      <c r="I11" s="508" t="str">
        <f>IF($E11=0," ",('t12'!D11+'t12'!#REF!)/$E11)</f>
        <v xml:space="preserve"> </v>
      </c>
      <c r="J11" s="508" t="str">
        <f>IF($E11=0," ",'t12'!E11/$E11)</f>
        <v xml:space="preserve"> </v>
      </c>
      <c r="K11" s="508" t="str">
        <f>IF($E11=0," ",'t12'!F11/$E11)</f>
        <v xml:space="preserve"> </v>
      </c>
      <c r="L11" s="508" t="str">
        <f>IF($E11=0," ",'t12'!G11/$E11)</f>
        <v xml:space="preserve"> </v>
      </c>
      <c r="M11" s="509">
        <f t="shared" si="0"/>
        <v>0</v>
      </c>
      <c r="N11" s="510" t="str">
        <f>IF($E11=0," ",'t12'!H11/$E11)</f>
        <v xml:space="preserve"> </v>
      </c>
      <c r="O11" s="510" t="str">
        <f>IF($E11=0," ",'t12'!I11/$E11)</f>
        <v xml:space="preserve"> </v>
      </c>
      <c r="P11" s="508" t="str">
        <f>IF($E11=0," ",'t13'!W11/$E11)</f>
        <v xml:space="preserve"> </v>
      </c>
      <c r="Q11" s="508" t="str">
        <f>IF($E11=0," ",SUM('t13'!C11:L11)/$E11)</f>
        <v xml:space="preserve"> </v>
      </c>
      <c r="R11" s="508" t="str">
        <f>IF($E11=0," ",(SUM('t13'!M11:T11)+'t13'!V11)/$E11)</f>
        <v xml:space="preserve"> </v>
      </c>
      <c r="S11" s="509">
        <f t="shared" si="1"/>
        <v>0</v>
      </c>
      <c r="T11" s="510" t="str">
        <f>IF($E11=0," ",'t13'!U11/$E11)</f>
        <v xml:space="preserve"> </v>
      </c>
    </row>
    <row r="12" spans="1:24" x14ac:dyDescent="0.2">
      <c r="A12" s="112" t="str">
        <f>'t1'!A12</f>
        <v>POSIZIONE ECONOMICA D  ISPETTORE ANTINCENDI DIRETTORE-VVFF</v>
      </c>
      <c r="B12" s="86" t="str">
        <f>'t1'!B12</f>
        <v>047IS3</v>
      </c>
      <c r="C12" s="506">
        <f>'t1'!K12+'t1'!L12</f>
        <v>0</v>
      </c>
      <c r="D12" s="506">
        <f>('t1'!K12+'t1'!L12)-SUM('t3'!C12:F12,'t3'!I12:J12)+SUM('t3'!K12:N12)</f>
        <v>0</v>
      </c>
      <c r="E12" s="507">
        <f>'t12'!C12/12</f>
        <v>0.08</v>
      </c>
      <c r="F12" s="507" t="str">
        <f>IF($D12&gt;0,(('t11'!C14+'t11'!D14)/$D12)," ")</f>
        <v xml:space="preserve"> </v>
      </c>
      <c r="G12" s="507" t="str">
        <f>IF($D12&gt;0,(SUM('t11'!E14:P14)/$D12)," ")</f>
        <v xml:space="preserve"> </v>
      </c>
      <c r="H12" s="507" t="str">
        <f>IF($D12&gt;0,(SUM('t11'!Q14:T14)/$D12)," ")</f>
        <v xml:space="preserve"> </v>
      </c>
      <c r="I12" s="508" t="e">
        <f>IF($E12=0," ",('t12'!D12+'t12'!#REF!)/$E12)</f>
        <v>#REF!</v>
      </c>
      <c r="J12" s="508">
        <f>IF($E12=0," ",'t12'!E12/$E12)</f>
        <v>0</v>
      </c>
      <c r="K12" s="508">
        <f>IF($E12=0," ",'t12'!F12/$E12)</f>
        <v>2163</v>
      </c>
      <c r="L12" s="508">
        <f>IF($E12=0," ",'t12'!G12/$E12)</f>
        <v>4425</v>
      </c>
      <c r="M12" s="509" t="e">
        <f t="shared" si="0"/>
        <v>#REF!</v>
      </c>
      <c r="N12" s="510">
        <f>IF($E12=0," ",'t12'!H12/$E12)</f>
        <v>75</v>
      </c>
      <c r="O12" s="510">
        <f>IF($E12=0," ",'t12'!I12/$E12)</f>
        <v>13</v>
      </c>
      <c r="P12" s="508">
        <f>IF($E12=0," ",'t13'!W12/$E12)</f>
        <v>5663</v>
      </c>
      <c r="Q12" s="508">
        <f>IF($E12=0," ",SUM('t13'!C12:L12)/$E12)</f>
        <v>11575</v>
      </c>
      <c r="R12" s="508">
        <f>IF($E12=0," ",(SUM('t13'!M12:T12)+'t13'!V12)/$E12)</f>
        <v>18950</v>
      </c>
      <c r="S12" s="509">
        <f t="shared" si="1"/>
        <v>36188</v>
      </c>
      <c r="T12" s="510">
        <f>IF($E12=0," ",'t13'!U12/$E12)</f>
        <v>0</v>
      </c>
    </row>
    <row r="13" spans="1:24" x14ac:dyDescent="0.2">
      <c r="A13" s="112" t="str">
        <f>'t1'!A13</f>
        <v>POSIZIONE ECONOMICA D  ISPETTORE ANTINCENDI  VVFF</v>
      </c>
      <c r="B13" s="86" t="str">
        <f>'t1'!B13</f>
        <v>047IS2</v>
      </c>
      <c r="C13" s="506">
        <f>'t1'!K13+'t1'!L13</f>
        <v>5</v>
      </c>
      <c r="D13" s="506">
        <f>('t1'!K13+'t1'!L13)-SUM('t3'!C13:F13,'t3'!I13:J13)+SUM('t3'!K13:N13)</f>
        <v>5</v>
      </c>
      <c r="E13" s="507">
        <f>'t12'!C13/12</f>
        <v>3.92</v>
      </c>
      <c r="F13" s="507">
        <f>IF($D13&gt;0,(('t11'!C15+'t11'!D15)/$D13)," ")</f>
        <v>24.8</v>
      </c>
      <c r="G13" s="507">
        <f>IF($D13&gt;0,(SUM('t11'!E15:P15)/$D13)," ")</f>
        <v>12.4</v>
      </c>
      <c r="H13" s="507">
        <f>IF($D13&gt;0,(SUM('t11'!Q15:T15)/$D13)," ")</f>
        <v>0</v>
      </c>
      <c r="I13" s="508" t="e">
        <f>IF($E13=0," ",('t12'!D13+'t12'!#REF!)/$E13)</f>
        <v>#REF!</v>
      </c>
      <c r="J13" s="508">
        <f>IF($E13=0," ",'t12'!E13/$E13)</f>
        <v>0</v>
      </c>
      <c r="K13" s="508">
        <f>IF($E13=0," ",'t12'!F13/$E13)</f>
        <v>2071</v>
      </c>
      <c r="L13" s="508">
        <f>IF($E13=0," ",'t12'!G13/$E13)</f>
        <v>3645</v>
      </c>
      <c r="M13" s="509" t="e">
        <f t="shared" si="0"/>
        <v>#REF!</v>
      </c>
      <c r="N13" s="510">
        <f>IF($E13=0," ",'t12'!H13/$E13)</f>
        <v>18</v>
      </c>
      <c r="O13" s="510">
        <f>IF($E13=0," ",'t12'!I13/$E13)</f>
        <v>10</v>
      </c>
      <c r="P13" s="508">
        <f>IF($E13=0," ",'t13'!W13/$E13)</f>
        <v>4750</v>
      </c>
      <c r="Q13" s="508">
        <f>IF($E13=0," ",SUM('t13'!C13:L13)/$E13)</f>
        <v>5056</v>
      </c>
      <c r="R13" s="508">
        <f>IF($E13=0," ",(SUM('t13'!M13:T13)+'t13'!V13)/$E13)</f>
        <v>19070</v>
      </c>
      <c r="S13" s="509">
        <f t="shared" si="1"/>
        <v>28876</v>
      </c>
      <c r="T13" s="510">
        <f>IF($E13=0," ",'t13'!U13/$E13)</f>
        <v>0</v>
      </c>
    </row>
    <row r="14" spans="1:24" x14ac:dyDescent="0.2">
      <c r="A14" s="112" t="str">
        <f>'t1'!A14</f>
        <v>POSIZIONE ECONOMICA C2</v>
      </c>
      <c r="B14" s="86" t="str">
        <f>'t1'!B14</f>
        <v>042000</v>
      </c>
      <c r="C14" s="506">
        <f>'t1'!K14+'t1'!L14</f>
        <v>766</v>
      </c>
      <c r="D14" s="506">
        <f>('t1'!K14+'t1'!L14)-SUM('t3'!C14:F14,'t3'!I14:J14)+SUM('t3'!K14:N14)</f>
        <v>761</v>
      </c>
      <c r="E14" s="507">
        <f>'t12'!C14/12</f>
        <v>652.41999999999996</v>
      </c>
      <c r="F14" s="507">
        <f>IF($D14&gt;0,(('t11'!C16+'t11'!D16)/$D14)," ")</f>
        <v>26.86</v>
      </c>
      <c r="G14" s="507">
        <f>IF($D14&gt;0,(SUM('t11'!E16:P16)/$D14)," ")</f>
        <v>13.94</v>
      </c>
      <c r="H14" s="507">
        <f>IF($D14&gt;0,(SUM('t11'!Q16:T16)/$D14)," ")</f>
        <v>2.59</v>
      </c>
      <c r="I14" s="508" t="e">
        <f>IF($E14=0," ",('t12'!D14+'t12'!#REF!)/$E14)</f>
        <v>#REF!</v>
      </c>
      <c r="J14" s="508">
        <f>IF($E14=0," ",'t12'!E14/$E14)</f>
        <v>164</v>
      </c>
      <c r="K14" s="508">
        <f>IF($E14=0," ",'t12'!F14/$E14)</f>
        <v>1530</v>
      </c>
      <c r="L14" s="508">
        <f>IF($E14=0," ",'t12'!G14/$E14)</f>
        <v>2289</v>
      </c>
      <c r="M14" s="509" t="e">
        <f t="shared" si="0"/>
        <v>#REF!</v>
      </c>
      <c r="N14" s="510">
        <f>IF($E14=0," ",'t12'!H14/$E14)</f>
        <v>1</v>
      </c>
      <c r="O14" s="510">
        <f>IF($E14=0," ",'t12'!I14/$E14)</f>
        <v>18</v>
      </c>
      <c r="P14" s="508">
        <f>IF($E14=0," ",'t13'!W14/$E14)</f>
        <v>437</v>
      </c>
      <c r="Q14" s="508">
        <f>IF($E14=0," ",SUM('t13'!C14:L14)/$E14)</f>
        <v>2318</v>
      </c>
      <c r="R14" s="508">
        <f>IF($E14=0," ",(SUM('t13'!M14:T14)+'t13'!V14)/$E14)</f>
        <v>2699</v>
      </c>
      <c r="S14" s="509">
        <f t="shared" si="1"/>
        <v>5454</v>
      </c>
      <c r="T14" s="510">
        <f>IF($E14=0," ",'t13'!U14/$E14)</f>
        <v>0</v>
      </c>
    </row>
    <row r="15" spans="1:24" x14ac:dyDescent="0.2">
      <c r="A15" s="112" t="str">
        <f>'t1'!A15</f>
        <v>POSIZIONE ECONOMICA C1</v>
      </c>
      <c r="B15" s="86" t="str">
        <f>'t1'!B15</f>
        <v>040000</v>
      </c>
      <c r="C15" s="506">
        <f>'t1'!K15+'t1'!L15</f>
        <v>25</v>
      </c>
      <c r="D15" s="506">
        <f>('t1'!K15+'t1'!L15)-SUM('t3'!C15:F15,'t3'!I15:J15)+SUM('t3'!K15:N15)</f>
        <v>25</v>
      </c>
      <c r="E15" s="507">
        <f>'t12'!C15/12</f>
        <v>25.11</v>
      </c>
      <c r="F15" s="507">
        <f>IF($D15&gt;0,(('t11'!C17+'t11'!D17)/$D15)," ")</f>
        <v>32.68</v>
      </c>
      <c r="G15" s="507">
        <f>IF($D15&gt;0,(SUM('t11'!E17:P17)/$D15)," ")</f>
        <v>19.32</v>
      </c>
      <c r="H15" s="507">
        <f>IF($D15&gt;0,(SUM('t11'!Q17:T17)/$D15)," ")</f>
        <v>0.08</v>
      </c>
      <c r="I15" s="508" t="e">
        <f>IF($E15=0," ",('t12'!D15+'t12'!#REF!)/$E15)</f>
        <v>#REF!</v>
      </c>
      <c r="J15" s="508">
        <f>IF($E15=0," ",'t12'!E15/$E15)</f>
        <v>195</v>
      </c>
      <c r="K15" s="508">
        <f>IF($E15=0," ",'t12'!F15/$E15)</f>
        <v>1748</v>
      </c>
      <c r="L15" s="508">
        <f>IF($E15=0," ",'t12'!G15/$E15)</f>
        <v>1926</v>
      </c>
      <c r="M15" s="509" t="e">
        <f t="shared" si="0"/>
        <v>#REF!</v>
      </c>
      <c r="N15" s="510">
        <f>IF($E15=0," ",'t12'!H15/$E15)</f>
        <v>0</v>
      </c>
      <c r="O15" s="510">
        <f>IF($E15=0," ",'t12'!I15/$E15)</f>
        <v>16</v>
      </c>
      <c r="P15" s="508">
        <f>IF($E15=0," ",'t13'!W15/$E15)</f>
        <v>92</v>
      </c>
      <c r="Q15" s="508">
        <f>IF($E15=0," ",SUM('t13'!C15:L15)/$E15)</f>
        <v>2433</v>
      </c>
      <c r="R15" s="508">
        <f>IF($E15=0," ",(SUM('t13'!M15:T15)+'t13'!V15)/$E15)</f>
        <v>1823</v>
      </c>
      <c r="S15" s="509">
        <f t="shared" si="1"/>
        <v>4348</v>
      </c>
      <c r="T15" s="510">
        <f>IF($E15=0," ",'t13'!U15/$E15)</f>
        <v>0</v>
      </c>
    </row>
    <row r="16" spans="1:24" x14ac:dyDescent="0.2">
      <c r="A16" s="112" t="str">
        <f>'t1'!A16</f>
        <v>ISPETTORE FORESTALE C21F</v>
      </c>
      <c r="B16" s="86" t="str">
        <f>'t1'!B16</f>
        <v>042324</v>
      </c>
      <c r="C16" s="506">
        <f>'t1'!K16+'t1'!L16</f>
        <v>19</v>
      </c>
      <c r="D16" s="506">
        <f>('t1'!K16+'t1'!L16)-SUM('t3'!C16:F16,'t3'!I16:J16)+SUM('t3'!K16:N16)</f>
        <v>17</v>
      </c>
      <c r="E16" s="507">
        <f>'t12'!C16/12</f>
        <v>17.93</v>
      </c>
      <c r="F16" s="507">
        <f>IF($D16&gt;0,(('t11'!C18+'t11'!D18)/$D16)," ")</f>
        <v>22</v>
      </c>
      <c r="G16" s="507">
        <f>IF($D16&gt;0,(SUM('t11'!E18:P18)/$D16)," ")</f>
        <v>8.4700000000000006</v>
      </c>
      <c r="H16" s="507">
        <f>IF($D16&gt;0,(SUM('t11'!Q18:T18)/$D16)," ")</f>
        <v>14.94</v>
      </c>
      <c r="I16" s="508" t="e">
        <f>IF($E16=0," ",('t12'!D16+'t12'!#REF!)/$E16)</f>
        <v>#REF!</v>
      </c>
      <c r="J16" s="508">
        <f>IF($E16=0," ",'t12'!E16/$E16)</f>
        <v>174</v>
      </c>
      <c r="K16" s="508">
        <f>IF($E16=0," ",'t12'!F16/$E16)</f>
        <v>924</v>
      </c>
      <c r="L16" s="508">
        <f>IF($E16=0," ",'t12'!G16/$E16)</f>
        <v>2987</v>
      </c>
      <c r="M16" s="509" t="e">
        <f t="shared" si="0"/>
        <v>#REF!</v>
      </c>
      <c r="N16" s="510">
        <f>IF($E16=0," ",'t12'!H16/$E16)</f>
        <v>97</v>
      </c>
      <c r="O16" s="510">
        <f>IF($E16=0," ",'t12'!I16/$E16)</f>
        <v>1</v>
      </c>
      <c r="P16" s="508">
        <f>IF($E16=0," ",'t13'!W16/$E16)</f>
        <v>737</v>
      </c>
      <c r="Q16" s="508">
        <f>IF($E16=0," ",SUM('t13'!C16:L16)/$E16)</f>
        <v>12441</v>
      </c>
      <c r="R16" s="508">
        <f>IF($E16=0," ",(SUM('t13'!M16:T16)+'t13'!V16)/$E16)</f>
        <v>4896</v>
      </c>
      <c r="S16" s="509">
        <f t="shared" si="1"/>
        <v>18074</v>
      </c>
      <c r="T16" s="510">
        <f>IF($E16=0," ",'t13'!U16/$E16)</f>
        <v>1272</v>
      </c>
    </row>
    <row r="17" spans="1:25" x14ac:dyDescent="0.2">
      <c r="A17" s="112" t="str">
        <f>'t1'!A17</f>
        <v>SOVRAINTENDENTE C1F</v>
      </c>
      <c r="B17" s="86" t="str">
        <f>'t1'!B17</f>
        <v>040211</v>
      </c>
      <c r="C17" s="506">
        <f>'t1'!K17+'t1'!L17</f>
        <v>27</v>
      </c>
      <c r="D17" s="506">
        <f>('t1'!K17+'t1'!L17)-SUM('t3'!C17:F17,'t3'!I17:J17)+SUM('t3'!K17:N17)</f>
        <v>27</v>
      </c>
      <c r="E17" s="507">
        <f>'t12'!C17/12</f>
        <v>21.45</v>
      </c>
      <c r="F17" s="507">
        <f>IF($D17&gt;0,(('t11'!C19+'t11'!D19)/$D17)," ")</f>
        <v>21.44</v>
      </c>
      <c r="G17" s="507">
        <f>IF($D17&gt;0,(SUM('t11'!E19:P19)/$D17)," ")</f>
        <v>11.56</v>
      </c>
      <c r="H17" s="507">
        <f>IF($D17&gt;0,(SUM('t11'!Q19:T19)/$D17)," ")</f>
        <v>0.41</v>
      </c>
      <c r="I17" s="508" t="e">
        <f>IF($E17=0," ",('t12'!D17+'t12'!#REF!)/$E17)</f>
        <v>#REF!</v>
      </c>
      <c r="J17" s="508">
        <f>IF($E17=0," ",'t12'!E17/$E17)</f>
        <v>45</v>
      </c>
      <c r="K17" s="508">
        <f>IF($E17=0," ",'t12'!F17/$E17)</f>
        <v>1011</v>
      </c>
      <c r="L17" s="508">
        <f>IF($E17=0," ",'t12'!G17/$E17)</f>
        <v>3474</v>
      </c>
      <c r="M17" s="509" t="e">
        <f t="shared" si="0"/>
        <v>#REF!</v>
      </c>
      <c r="N17" s="510">
        <f>IF($E17=0," ",'t12'!H17/$E17)</f>
        <v>90</v>
      </c>
      <c r="O17" s="510">
        <f>IF($E17=0," ",'t12'!I17/$E17)</f>
        <v>18</v>
      </c>
      <c r="P17" s="508">
        <f>IF($E17=0," ",'t13'!W17/$E17)</f>
        <v>396</v>
      </c>
      <c r="Q17" s="508">
        <f>IF($E17=0," ",SUM('t13'!C17:L17)/$E17)</f>
        <v>11728</v>
      </c>
      <c r="R17" s="508">
        <f>IF($E17=0," ",(SUM('t13'!M17:T17)+'t13'!V17)/$E17)</f>
        <v>5582</v>
      </c>
      <c r="S17" s="509">
        <f t="shared" si="1"/>
        <v>17706</v>
      </c>
      <c r="T17" s="510">
        <f>IF($E17=0," ",'t13'!U17/$E17)</f>
        <v>1441</v>
      </c>
    </row>
    <row r="18" spans="1:25" s="89" customFormat="1" x14ac:dyDescent="0.2">
      <c r="A18" s="112" t="str">
        <f>'t1'!A18</f>
        <v>POSIZIONE ECONOMICA C2  CAPO REPARTO  VVFF</v>
      </c>
      <c r="B18" s="86" t="str">
        <f>'t1'!B18</f>
        <v>042CR1</v>
      </c>
      <c r="C18" s="506">
        <f>'t1'!K18+'t1'!L18</f>
        <v>11</v>
      </c>
      <c r="D18" s="506">
        <f>('t1'!K18+'t1'!L18)-SUM('t3'!C18:F18,'t3'!I18:J18)+SUM('t3'!K18:N18)</f>
        <v>11</v>
      </c>
      <c r="E18" s="507">
        <f>'t12'!C18/12</f>
        <v>11.12</v>
      </c>
      <c r="F18" s="507">
        <f>IF($D18&gt;0,(('t11'!C20+'t11'!D20)/$D18)," ")</f>
        <v>26.45</v>
      </c>
      <c r="G18" s="507">
        <f>IF($D18&gt;0,(SUM('t11'!E20:P20)/$D18)," ")</f>
        <v>9</v>
      </c>
      <c r="H18" s="507">
        <f>IF($D18&gt;0,(SUM('t11'!Q20:T20)/$D18)," ")</f>
        <v>0</v>
      </c>
      <c r="I18" s="508" t="e">
        <f>IF($E18=0," ",('t12'!D18+'t12'!#REF!)/$E18)</f>
        <v>#REF!</v>
      </c>
      <c r="J18" s="508">
        <f>IF($E18=0," ",'t12'!E18/$E18)</f>
        <v>0</v>
      </c>
      <c r="K18" s="508">
        <f>IF($E18=0," ",'t12'!F18/$E18)</f>
        <v>787</v>
      </c>
      <c r="L18" s="508">
        <f>IF($E18=0," ",'t12'!G18/$E18)</f>
        <v>3018</v>
      </c>
      <c r="M18" s="509" t="e">
        <f t="shared" si="0"/>
        <v>#REF!</v>
      </c>
      <c r="N18" s="510">
        <f>IF($E18=0," ",'t12'!H18/$E18)</f>
        <v>0</v>
      </c>
      <c r="O18" s="510">
        <f>IF($E18=0," ",'t12'!I18/$E18)</f>
        <v>0</v>
      </c>
      <c r="P18" s="508">
        <f>IF($E18=0," ",'t13'!W18/$E18)</f>
        <v>2555</v>
      </c>
      <c r="Q18" s="508">
        <f>IF($E18=0," ",SUM('t13'!C18:L18)/$E18)</f>
        <v>2267</v>
      </c>
      <c r="R18" s="508">
        <f>IF($E18=0," ",(SUM('t13'!M18:T18)+'t13'!V18)/$E18)</f>
        <v>16606</v>
      </c>
      <c r="S18" s="509">
        <f t="shared" si="1"/>
        <v>21428</v>
      </c>
      <c r="T18" s="510">
        <f>IF($E18=0," ",'t13'!U18/$E18)</f>
        <v>0</v>
      </c>
      <c r="V18"/>
      <c r="W18"/>
      <c r="X18"/>
      <c r="Y18"/>
    </row>
    <row r="19" spans="1:25" s="89" customFormat="1" x14ac:dyDescent="0.2">
      <c r="A19" s="112" t="str">
        <f>'t1'!A19</f>
        <v>POSIZIONE ECONOMICA C2  COLLAB. TECNICO ANTINCENDI  VVFF</v>
      </c>
      <c r="B19" s="86" t="str">
        <f>'t1'!B19</f>
        <v>042CA0</v>
      </c>
      <c r="C19" s="506">
        <f>'t1'!K19+'t1'!L19</f>
        <v>8</v>
      </c>
      <c r="D19" s="506">
        <f>('t1'!K19+'t1'!L19)-SUM('t3'!C19:F19,'t3'!I19:J19)+SUM('t3'!K19:N19)</f>
        <v>8</v>
      </c>
      <c r="E19" s="507">
        <f>'t12'!C19/12</f>
        <v>8</v>
      </c>
      <c r="F19" s="507">
        <f>IF($D19&gt;0,(('t11'!C21+'t11'!D21)/$D19)," ")</f>
        <v>24.5</v>
      </c>
      <c r="G19" s="507">
        <f>IF($D19&gt;0,(SUM('t11'!E21:P21)/$D19)," ")</f>
        <v>13</v>
      </c>
      <c r="H19" s="507">
        <f>IF($D19&gt;0,(SUM('t11'!Q21:T21)/$D19)," ")</f>
        <v>0</v>
      </c>
      <c r="I19" s="508" t="e">
        <f>IF($E19=0," ",('t12'!D19+'t12'!#REF!)/$E19)</f>
        <v>#REF!</v>
      </c>
      <c r="J19" s="508">
        <f>IF($E19=0," ",'t12'!E19/$E19)</f>
        <v>0</v>
      </c>
      <c r="K19" s="508">
        <f>IF($E19=0," ",'t12'!F19/$E19)</f>
        <v>864</v>
      </c>
      <c r="L19" s="508">
        <f>IF($E19=0," ",'t12'!G19/$E19)</f>
        <v>2967</v>
      </c>
      <c r="M19" s="509" t="e">
        <f t="shared" si="0"/>
        <v>#REF!</v>
      </c>
      <c r="N19" s="510">
        <f>IF($E19=0," ",'t12'!H19/$E19)</f>
        <v>0</v>
      </c>
      <c r="O19" s="510">
        <f>IF($E19=0," ",'t12'!I19/$E19)</f>
        <v>15</v>
      </c>
      <c r="P19" s="508">
        <f>IF($E19=0," ",'t13'!W19/$E19)</f>
        <v>2690</v>
      </c>
      <c r="Q19" s="508">
        <f>IF($E19=0," ",SUM('t13'!C19:L19)/$E19)</f>
        <v>2267</v>
      </c>
      <c r="R19" s="508">
        <f>IF($E19=0," ",(SUM('t13'!M19:T19)+'t13'!V19)/$E19)</f>
        <v>15606</v>
      </c>
      <c r="S19" s="509">
        <f t="shared" si="1"/>
        <v>20563</v>
      </c>
      <c r="T19" s="510">
        <f>IF($E19=0," ",'t13'!U19/$E19)</f>
        <v>0</v>
      </c>
      <c r="V19"/>
      <c r="W19"/>
      <c r="X19"/>
      <c r="Y19"/>
    </row>
    <row r="20" spans="1:25" s="89" customFormat="1" x14ac:dyDescent="0.2">
      <c r="A20" s="112" t="str">
        <f>'t1'!A20</f>
        <v>POSIZIONE ECONOMICA C1  CAPO SQUADRA  VVFF</v>
      </c>
      <c r="B20" s="86" t="str">
        <f>'t1'!B20</f>
        <v>040CS1</v>
      </c>
      <c r="C20" s="506">
        <f>'t1'!K20+'t1'!L20</f>
        <v>31</v>
      </c>
      <c r="D20" s="506">
        <f>('t1'!K20+'t1'!L20)-SUM('t3'!C20:F20,'t3'!I20:J20)+SUM('t3'!K20:N20)</f>
        <v>31</v>
      </c>
      <c r="E20" s="507">
        <f>'t12'!C20/12</f>
        <v>30.49</v>
      </c>
      <c r="F20" s="507">
        <f>IF($D20&gt;0,(('t11'!C22+'t11'!D22)/$D20)," ")</f>
        <v>19.100000000000001</v>
      </c>
      <c r="G20" s="507">
        <f>IF($D20&gt;0,(SUM('t11'!E22:P22)/$D20)," ")</f>
        <v>6.55</v>
      </c>
      <c r="H20" s="507">
        <f>IF($D20&gt;0,(SUM('t11'!Q22:T22)/$D20)," ")</f>
        <v>8.77</v>
      </c>
      <c r="I20" s="508" t="e">
        <f>IF($E20=0," ",('t12'!D20+'t12'!#REF!)/$E20)</f>
        <v>#REF!</v>
      </c>
      <c r="J20" s="508">
        <f>IF($E20=0," ",'t12'!E20/$E20)</f>
        <v>0</v>
      </c>
      <c r="K20" s="508">
        <f>IF($E20=0," ",'t12'!F20/$E20)</f>
        <v>1498</v>
      </c>
      <c r="L20" s="508">
        <f>IF($E20=0," ",'t12'!G20/$E20)</f>
        <v>2827</v>
      </c>
      <c r="M20" s="509" t="e">
        <f t="shared" si="0"/>
        <v>#REF!</v>
      </c>
      <c r="N20" s="510">
        <f>IF($E20=0," ",'t12'!H20/$E20)</f>
        <v>0</v>
      </c>
      <c r="O20" s="510">
        <f>IF($E20=0," ",'t12'!I20/$E20)</f>
        <v>1</v>
      </c>
      <c r="P20" s="508">
        <f>IF($E20=0," ",'t13'!W20/$E20)</f>
        <v>2049</v>
      </c>
      <c r="Q20" s="508">
        <f>IF($E20=0," ",SUM('t13'!C20:L20)/$E20)</f>
        <v>2266</v>
      </c>
      <c r="R20" s="508">
        <f>IF($E20=0," ",(SUM('t13'!M20:T20)+'t13'!V20)/$E20)</f>
        <v>15961</v>
      </c>
      <c r="S20" s="509">
        <f t="shared" si="1"/>
        <v>20276</v>
      </c>
      <c r="T20" s="510">
        <f>IF($E20=0," ",'t13'!U20/$E20)</f>
        <v>0</v>
      </c>
      <c r="V20"/>
      <c r="W20"/>
      <c r="X20"/>
      <c r="Y20"/>
    </row>
    <row r="21" spans="1:25" s="89" customFormat="1" x14ac:dyDescent="0.2">
      <c r="A21" s="112" t="str">
        <f>'t1'!A21</f>
        <v>POSIZIONE ECONOMICA B3</v>
      </c>
      <c r="B21" s="86" t="str">
        <f>'t1'!B21</f>
        <v>034000</v>
      </c>
      <c r="C21" s="506">
        <f>'t1'!K21+'t1'!L21</f>
        <v>13</v>
      </c>
      <c r="D21" s="506">
        <f>('t1'!K21+'t1'!L21)-SUM('t3'!C21:F21,'t3'!I21:J21)+SUM('t3'!K21:N21)</f>
        <v>13</v>
      </c>
      <c r="E21" s="507">
        <f>'t12'!C21/12</f>
        <v>12</v>
      </c>
      <c r="F21" s="507">
        <f>IF($D21&gt;0,(('t11'!C23+'t11'!D23)/$D21)," ")</f>
        <v>28.77</v>
      </c>
      <c r="G21" s="507">
        <f>IF($D21&gt;0,(SUM('t11'!E23:P23)/$D21)," ")</f>
        <v>13.85</v>
      </c>
      <c r="H21" s="507">
        <f>IF($D21&gt;0,(SUM('t11'!Q23:T23)/$D21)," ")</f>
        <v>0.08</v>
      </c>
      <c r="I21" s="508" t="e">
        <f>IF($E21=0," ",('t12'!D21+'t12'!#REF!)/$E21)</f>
        <v>#REF!</v>
      </c>
      <c r="J21" s="508">
        <f>IF($E21=0," ",'t12'!E21/$E21)</f>
        <v>130</v>
      </c>
      <c r="K21" s="508">
        <f>IF($E21=0," ",'t12'!F21/$E21)</f>
        <v>1666</v>
      </c>
      <c r="L21" s="508">
        <f>IF($E21=0," ",'t12'!G21/$E21)</f>
        <v>2019</v>
      </c>
      <c r="M21" s="509" t="e">
        <f t="shared" si="0"/>
        <v>#REF!</v>
      </c>
      <c r="N21" s="510">
        <f>IF($E21=0," ",'t12'!H21/$E21)</f>
        <v>0</v>
      </c>
      <c r="O21" s="510">
        <f>IF($E21=0," ",'t12'!I21/$E21)</f>
        <v>11</v>
      </c>
      <c r="P21" s="508">
        <f>IF($E21=0," ",'t13'!W21/$E21)</f>
        <v>576</v>
      </c>
      <c r="Q21" s="508">
        <f>IF($E21=0," ",SUM('t13'!C21:L21)/$E21)</f>
        <v>1816</v>
      </c>
      <c r="R21" s="508">
        <f>IF($E21=0," ",(SUM('t13'!M21:T21)+'t13'!V21)/$E21)</f>
        <v>3086</v>
      </c>
      <c r="S21" s="509">
        <f t="shared" si="1"/>
        <v>5478</v>
      </c>
      <c r="T21" s="510">
        <f>IF($E21=0," ",'t13'!U21/$E21)</f>
        <v>0</v>
      </c>
      <c r="V21"/>
      <c r="W21"/>
      <c r="X21"/>
      <c r="Y21"/>
    </row>
    <row r="22" spans="1:25" s="89" customFormat="1" x14ac:dyDescent="0.2">
      <c r="A22" s="112" t="str">
        <f>'t1'!A22</f>
        <v>POSIZIONE ECONOMICA B2S</v>
      </c>
      <c r="B22" s="86" t="str">
        <f>'t1'!B22</f>
        <v>033000</v>
      </c>
      <c r="C22" s="506">
        <f>'t1'!K22+'t1'!L22</f>
        <v>5</v>
      </c>
      <c r="D22" s="506">
        <f>('t1'!K22+'t1'!L22)-SUM('t3'!C22:F22,'t3'!I22:J22)+SUM('t3'!K22:N22)</f>
        <v>5</v>
      </c>
      <c r="E22" s="507">
        <f>'t12'!C22/12</f>
        <v>4.83</v>
      </c>
      <c r="F22" s="507">
        <f>IF($D22&gt;0,(('t11'!C24+'t11'!D24)/$D22)," ")</f>
        <v>25</v>
      </c>
      <c r="G22" s="507">
        <f>IF($D22&gt;0,(SUM('t11'!E24:P24)/$D22)," ")</f>
        <v>24.4</v>
      </c>
      <c r="H22" s="507">
        <f>IF($D22&gt;0,(SUM('t11'!Q24:T24)/$D22)," ")</f>
        <v>0</v>
      </c>
      <c r="I22" s="508" t="e">
        <f>IF($E22=0," ",('t12'!D22+'t12'!#REF!)/$E22)</f>
        <v>#REF!</v>
      </c>
      <c r="J22" s="508">
        <f>IF($E22=0," ",'t12'!E22/$E22)</f>
        <v>0</v>
      </c>
      <c r="K22" s="508">
        <f>IF($E22=0," ",'t12'!F22/$E22)</f>
        <v>1338</v>
      </c>
      <c r="L22" s="508">
        <f>IF($E22=0," ",'t12'!G22/$E22)</f>
        <v>1880</v>
      </c>
      <c r="M22" s="509" t="e">
        <f t="shared" si="0"/>
        <v>#REF!</v>
      </c>
      <c r="N22" s="510">
        <f>IF($E22=0," ",'t12'!H22/$E22)</f>
        <v>0</v>
      </c>
      <c r="O22" s="510">
        <f>IF($E22=0," ",'t12'!I22/$E22)</f>
        <v>0</v>
      </c>
      <c r="P22" s="508">
        <f>IF($E22=0," ",'t13'!W22/$E22)</f>
        <v>27</v>
      </c>
      <c r="Q22" s="508">
        <f>IF($E22=0," ",SUM('t13'!C22:L22)/$E22)</f>
        <v>1817</v>
      </c>
      <c r="R22" s="508">
        <f>IF($E22=0," ",(SUM('t13'!M22:T22)+'t13'!V22)/$E22)</f>
        <v>928</v>
      </c>
      <c r="S22" s="509">
        <f t="shared" si="1"/>
        <v>2772</v>
      </c>
      <c r="T22" s="510">
        <f>IF($E22=0," ",'t13'!U22/$E22)</f>
        <v>0</v>
      </c>
      <c r="V22"/>
      <c r="W22"/>
      <c r="X22"/>
      <c r="Y22"/>
    </row>
    <row r="23" spans="1:25" s="89" customFormat="1" x14ac:dyDescent="0.2">
      <c r="A23" s="112" t="str">
        <f>'t1'!A23</f>
        <v>POSIZIONE ECONOMICA B2</v>
      </c>
      <c r="B23" s="86" t="str">
        <f>'t1'!B23</f>
        <v>032000</v>
      </c>
      <c r="C23" s="506">
        <f>'t1'!K23+'t1'!L23</f>
        <v>516</v>
      </c>
      <c r="D23" s="506">
        <f>('t1'!K23+'t1'!L23)-SUM('t3'!C23:F23,'t3'!I23:J23)+SUM('t3'!K23:N23)</f>
        <v>512</v>
      </c>
      <c r="E23" s="507">
        <f>'t12'!C23/12</f>
        <v>512.24</v>
      </c>
      <c r="F23" s="507">
        <f>IF($D23&gt;0,(('t11'!C25+'t11'!D25)/$D23)," ")</f>
        <v>32.08</v>
      </c>
      <c r="G23" s="507">
        <f>IF($D23&gt;0,(SUM('t11'!E25:P25)/$D23)," ")</f>
        <v>20.61</v>
      </c>
      <c r="H23" s="507">
        <f>IF($D23&gt;0,(SUM('t11'!Q25:T25)/$D23)," ")</f>
        <v>0.57999999999999996</v>
      </c>
      <c r="I23" s="508" t="e">
        <f>IF($E23=0," ",('t12'!D23+'t12'!#REF!)/$E23)</f>
        <v>#REF!</v>
      </c>
      <c r="J23" s="508">
        <f>IF($E23=0," ",'t12'!E23/$E23)</f>
        <v>136</v>
      </c>
      <c r="K23" s="508">
        <f>IF($E23=0," ",'t12'!F23/$E23)</f>
        <v>1412</v>
      </c>
      <c r="L23" s="508">
        <f>IF($E23=0," ",'t12'!G23/$E23)</f>
        <v>1832</v>
      </c>
      <c r="M23" s="509" t="e">
        <f t="shared" si="0"/>
        <v>#REF!</v>
      </c>
      <c r="N23" s="510">
        <f>IF($E23=0," ",'t12'!H23/$E23)</f>
        <v>0</v>
      </c>
      <c r="O23" s="510">
        <f>IF($E23=0," ",'t12'!I23/$E23)</f>
        <v>16</v>
      </c>
      <c r="P23" s="508">
        <f>IF($E23=0," ",'t13'!W23/$E23)</f>
        <v>309</v>
      </c>
      <c r="Q23" s="508">
        <f>IF($E23=0," ",SUM('t13'!C23:L23)/$E23)</f>
        <v>2042</v>
      </c>
      <c r="R23" s="508">
        <f>IF($E23=0," ",(SUM('t13'!M23:T23)+'t13'!V23)/$E23)</f>
        <v>2278</v>
      </c>
      <c r="S23" s="509">
        <f t="shared" si="1"/>
        <v>4629</v>
      </c>
      <c r="T23" s="510">
        <f>IF($E23=0," ",'t13'!U23/$E23)</f>
        <v>0</v>
      </c>
      <c r="V23"/>
      <c r="W23"/>
      <c r="X23"/>
      <c r="Y23"/>
    </row>
    <row r="24" spans="1:25" s="89" customFormat="1" x14ac:dyDescent="0.2">
      <c r="A24" s="112" t="str">
        <f>'t1'!A24</f>
        <v>POSIZIONE ECONOMICA B1</v>
      </c>
      <c r="B24" s="86" t="str">
        <f>'t1'!B24</f>
        <v>030000</v>
      </c>
      <c r="C24" s="506">
        <f>'t1'!K24+'t1'!L24</f>
        <v>23</v>
      </c>
      <c r="D24" s="506">
        <f>('t1'!K24+'t1'!L24)-SUM('t3'!C24:F24,'t3'!I24:J24)+SUM('t3'!K24:N24)</f>
        <v>23</v>
      </c>
      <c r="E24" s="507">
        <f>'t12'!C24/12</f>
        <v>23.74</v>
      </c>
      <c r="F24" s="507">
        <f>IF($D24&gt;0,(('t11'!C26+'t11'!D26)/$D24)," ")</f>
        <v>32.83</v>
      </c>
      <c r="G24" s="507">
        <f>IF($D24&gt;0,(SUM('t11'!E26:P26)/$D24)," ")</f>
        <v>16.48</v>
      </c>
      <c r="H24" s="507">
        <f>IF($D24&gt;0,(SUM('t11'!Q26:T26)/$D24)," ")</f>
        <v>0</v>
      </c>
      <c r="I24" s="508" t="e">
        <f>IF($E24=0," ",('t12'!D24+'t12'!#REF!)/$E24)</f>
        <v>#REF!</v>
      </c>
      <c r="J24" s="508">
        <f>IF($E24=0," ",'t12'!E24/$E24)</f>
        <v>119</v>
      </c>
      <c r="K24" s="508">
        <f>IF($E24=0," ",'t12'!F24/$E24)</f>
        <v>1448</v>
      </c>
      <c r="L24" s="508">
        <f>IF($E24=0," ",'t12'!G24/$E24)</f>
        <v>1807</v>
      </c>
      <c r="M24" s="509" t="e">
        <f t="shared" si="0"/>
        <v>#REF!</v>
      </c>
      <c r="N24" s="510">
        <f>IF($E24=0," ",'t12'!H24/$E24)</f>
        <v>0</v>
      </c>
      <c r="O24" s="510">
        <f>IF($E24=0," ",'t12'!I24/$E24)</f>
        <v>9</v>
      </c>
      <c r="P24" s="508">
        <f>IF($E24=0," ",'t13'!W24/$E24)</f>
        <v>789</v>
      </c>
      <c r="Q24" s="508">
        <f>IF($E24=0," ",SUM('t13'!C24:L24)/$E24)</f>
        <v>1816</v>
      </c>
      <c r="R24" s="508">
        <f>IF($E24=0," ",(SUM('t13'!M24:T24)+'t13'!V24)/$E24)</f>
        <v>2222</v>
      </c>
      <c r="S24" s="509">
        <f t="shared" si="1"/>
        <v>4827</v>
      </c>
      <c r="T24" s="510">
        <f>IF($E24=0," ",'t13'!U24/$E24)</f>
        <v>0</v>
      </c>
      <c r="V24"/>
      <c r="W24"/>
      <c r="X24"/>
      <c r="Y24"/>
    </row>
    <row r="25" spans="1:25" s="89" customFormat="1" x14ac:dyDescent="0.2">
      <c r="A25" s="112" t="str">
        <f>'t1'!A25</f>
        <v>POS. EC. B3-GUARDIA  FORESTALE 5 A.</v>
      </c>
      <c r="B25" s="86" t="str">
        <f>'t1'!B25</f>
        <v>034561</v>
      </c>
      <c r="C25" s="506">
        <f>'t1'!K25+'t1'!L25</f>
        <v>41</v>
      </c>
      <c r="D25" s="506">
        <f>('t1'!K25+'t1'!L25)-SUM('t3'!C25:F25,'t3'!I25:J25)+SUM('t3'!K25:N25)</f>
        <v>41</v>
      </c>
      <c r="E25" s="507">
        <f>'t12'!C25/12</f>
        <v>44.01</v>
      </c>
      <c r="F25" s="507">
        <f>IF($D25&gt;0,(('t11'!C27+'t11'!D27)/$D25)," ")</f>
        <v>27.71</v>
      </c>
      <c r="G25" s="507">
        <f>IF($D25&gt;0,(SUM('t11'!E27:P27)/$D25)," ")</f>
        <v>11.66</v>
      </c>
      <c r="H25" s="507">
        <f>IF($D25&gt;0,(SUM('t11'!Q27:T27)/$D25)," ")</f>
        <v>0.66</v>
      </c>
      <c r="I25" s="508" t="e">
        <f>IF($E25=0," ",('t12'!D25+'t12'!#REF!)/$E25)</f>
        <v>#REF!</v>
      </c>
      <c r="J25" s="508">
        <f>IF($E25=0," ",'t12'!E25/$E25)</f>
        <v>190</v>
      </c>
      <c r="K25" s="508">
        <f>IF($E25=0," ",'t12'!F25/$E25)</f>
        <v>1625</v>
      </c>
      <c r="L25" s="508">
        <f>IF($E25=0," ",'t12'!G25/$E25)</f>
        <v>2595</v>
      </c>
      <c r="M25" s="509" t="e">
        <f t="shared" si="0"/>
        <v>#REF!</v>
      </c>
      <c r="N25" s="510">
        <f>IF($E25=0," ",'t12'!H25/$E25)</f>
        <v>567</v>
      </c>
      <c r="O25" s="510">
        <f>IF($E25=0," ",'t12'!I25/$E25)</f>
        <v>26</v>
      </c>
      <c r="P25" s="508">
        <f>IF($E25=0," ",'t13'!W25/$E25)</f>
        <v>376</v>
      </c>
      <c r="Q25" s="508">
        <f>IF($E25=0," ",SUM('t13'!C25:L25)/$E25)</f>
        <v>10395</v>
      </c>
      <c r="R25" s="508">
        <f>IF($E25=0," ",(SUM('t13'!M25:T25)+'t13'!V25)/$E25)</f>
        <v>4780</v>
      </c>
      <c r="S25" s="509">
        <f t="shared" si="1"/>
        <v>15551</v>
      </c>
      <c r="T25" s="510">
        <f>IF($E25=0," ",'t13'!U25/$E25)</f>
        <v>6691</v>
      </c>
      <c r="V25"/>
      <c r="W25"/>
      <c r="X25"/>
      <c r="Y25"/>
    </row>
    <row r="26" spans="1:25" s="89" customFormat="1" x14ac:dyDescent="0.2">
      <c r="A26" s="112" t="str">
        <f>'t1'!A26</f>
        <v>POS. EC. B2-GUARDIA  FORESTALE</v>
      </c>
      <c r="B26" s="86" t="str">
        <f>'t1'!B26</f>
        <v>032561</v>
      </c>
      <c r="C26" s="506">
        <f>'t1'!K26+'t1'!L26</f>
        <v>24</v>
      </c>
      <c r="D26" s="506">
        <f>('t1'!K26+'t1'!L26)-SUM('t3'!C26:F26,'t3'!I26:J26)+SUM('t3'!K26:N26)</f>
        <v>24</v>
      </c>
      <c r="E26" s="507">
        <f>'t12'!C26/12</f>
        <v>19.260000000000002</v>
      </c>
      <c r="F26" s="507">
        <f>IF($D26&gt;0,(('t11'!C28+'t11'!D28)/$D26)," ")</f>
        <v>32.54</v>
      </c>
      <c r="G26" s="507">
        <f>IF($D26&gt;0,(SUM('t11'!E28:P28)/$D26)," ")</f>
        <v>16.579999999999998</v>
      </c>
      <c r="H26" s="507">
        <f>IF($D26&gt;0,(SUM('t11'!Q28:T28)/$D26)," ")</f>
        <v>0.75</v>
      </c>
      <c r="I26" s="508" t="e">
        <f>IF($E26=0," ",('t12'!D26+'t12'!#REF!)/$E26)</f>
        <v>#REF!</v>
      </c>
      <c r="J26" s="508">
        <f>IF($E26=0," ",'t12'!E26/$E26)</f>
        <v>0</v>
      </c>
      <c r="K26" s="508">
        <f>IF($E26=0," ",'t12'!F26/$E26)</f>
        <v>384</v>
      </c>
      <c r="L26" s="508">
        <f>IF($E26=0," ",'t12'!G26/$E26)</f>
        <v>1899</v>
      </c>
      <c r="M26" s="509" t="e">
        <f t="shared" si="0"/>
        <v>#REF!</v>
      </c>
      <c r="N26" s="510">
        <f>IF($E26=0," ",'t12'!H26/$E26)</f>
        <v>0</v>
      </c>
      <c r="O26" s="510">
        <f>IF($E26=0," ",'t12'!I26/$E26)</f>
        <v>5</v>
      </c>
      <c r="P26" s="508">
        <f>IF($E26=0," ",'t13'!W26/$E26)</f>
        <v>425</v>
      </c>
      <c r="Q26" s="508">
        <f>IF($E26=0," ",SUM('t13'!C26:L26)/$E26)</f>
        <v>8670</v>
      </c>
      <c r="R26" s="508">
        <f>IF($E26=0," ",(SUM('t13'!M26:T26)+'t13'!V26)/$E26)</f>
        <v>3567</v>
      </c>
      <c r="S26" s="509">
        <f t="shared" ref="S26:S33" si="2">SUM(P26:R26)</f>
        <v>12662</v>
      </c>
      <c r="T26" s="510">
        <f>IF($E26=0," ",'t13'!U26/$E26)</f>
        <v>0</v>
      </c>
      <c r="V26"/>
      <c r="W26"/>
      <c r="X26"/>
      <c r="Y26"/>
    </row>
    <row r="27" spans="1:25" s="89" customFormat="1" x14ac:dyDescent="0.2">
      <c r="A27" s="112" t="str">
        <f>'t1'!A27</f>
        <v>POSIZIONE ECONOMICA B1 - FORESTALE</v>
      </c>
      <c r="B27" s="86" t="str">
        <f>'t1'!B27</f>
        <v>030FOR</v>
      </c>
      <c r="C27" s="506">
        <f>'t1'!K27+'t1'!L27</f>
        <v>0</v>
      </c>
      <c r="D27" s="506">
        <f>('t1'!K27+'t1'!L27)-SUM('t3'!C27:F27,'t3'!I27:J27)+SUM('t3'!K27:N27)</f>
        <v>0</v>
      </c>
      <c r="E27" s="507">
        <f>'t12'!C27/12</f>
        <v>0</v>
      </c>
      <c r="F27" s="507" t="str">
        <f>IF($D27&gt;0,(('t11'!C29+'t11'!D29)/$D27)," ")</f>
        <v xml:space="preserve"> </v>
      </c>
      <c r="G27" s="507" t="str">
        <f>IF($D27&gt;0,(SUM('t11'!E29:P29)/$D27)," ")</f>
        <v xml:space="preserve"> </v>
      </c>
      <c r="H27" s="507" t="str">
        <f>IF($D27&gt;0,(SUM('t11'!Q29:T29)/$D27)," ")</f>
        <v xml:space="preserve"> </v>
      </c>
      <c r="I27" s="508" t="str">
        <f>IF($E27=0," ",('t12'!D27+'t12'!#REF!)/$E27)</f>
        <v xml:space="preserve"> </v>
      </c>
      <c r="J27" s="508" t="str">
        <f>IF($E27=0," ",'t12'!E27/$E27)</f>
        <v xml:space="preserve"> </v>
      </c>
      <c r="K27" s="508" t="str">
        <f>IF($E27=0," ",'t12'!F27/$E27)</f>
        <v xml:space="preserve"> </v>
      </c>
      <c r="L27" s="508" t="str">
        <f>IF($E27=0," ",'t12'!G27/$E27)</f>
        <v xml:space="preserve"> </v>
      </c>
      <c r="M27" s="509">
        <f t="shared" si="0"/>
        <v>0</v>
      </c>
      <c r="N27" s="510" t="str">
        <f>IF($E27=0," ",'t12'!H27/$E27)</f>
        <v xml:space="preserve"> </v>
      </c>
      <c r="O27" s="510" t="str">
        <f>IF($E27=0," ",'t12'!I27/$E27)</f>
        <v xml:space="preserve"> </v>
      </c>
      <c r="P27" s="508" t="str">
        <f>IF($E27=0," ",'t13'!W27/$E27)</f>
        <v xml:space="preserve"> </v>
      </c>
      <c r="Q27" s="508" t="str">
        <f>IF($E27=0," ",SUM('t13'!C27:L27)/$E27)</f>
        <v xml:space="preserve"> </v>
      </c>
      <c r="R27" s="508" t="str">
        <f>IF($E27=0," ",(SUM('t13'!M27:T27)+'t13'!V27)/$E27)</f>
        <v xml:space="preserve"> </v>
      </c>
      <c r="S27" s="509">
        <f t="shared" si="2"/>
        <v>0</v>
      </c>
      <c r="T27" s="510" t="str">
        <f>IF($E27=0," ",'t13'!U27/$E27)</f>
        <v xml:space="preserve"> </v>
      </c>
      <c r="V27"/>
      <c r="W27"/>
      <c r="X27"/>
      <c r="Y27"/>
    </row>
    <row r="28" spans="1:25" s="89" customFormat="1" x14ac:dyDescent="0.2">
      <c r="A28" s="112" t="str">
        <f>'t1'!A28</f>
        <v>POSIZIONE ECONOMICA B3  VIGILE DEL FUOCO &gt; 5 ANNI</v>
      </c>
      <c r="B28" s="86" t="str">
        <f>'t1'!B28</f>
        <v>034VF5</v>
      </c>
      <c r="C28" s="506">
        <f>'t1'!K28+'t1'!L28</f>
        <v>99</v>
      </c>
      <c r="D28" s="506">
        <f>('t1'!K28+'t1'!L28)-SUM('t3'!C28:F28,'t3'!I28:J28)+SUM('t3'!K28:N28)</f>
        <v>99</v>
      </c>
      <c r="E28" s="507">
        <f>'t12'!C28/12</f>
        <v>93.34</v>
      </c>
      <c r="F28" s="507">
        <f>IF($D28&gt;0,(('t11'!C30+'t11'!D30)/$D28)," ")</f>
        <v>15.04</v>
      </c>
      <c r="G28" s="507">
        <f>IF($D28&gt;0,(SUM('t11'!E30:P30)/$D28)," ")</f>
        <v>7.93</v>
      </c>
      <c r="H28" s="507">
        <f>IF($D28&gt;0,(SUM('t11'!Q30:T30)/$D28)," ")</f>
        <v>0.01</v>
      </c>
      <c r="I28" s="508" t="e">
        <f>IF($E28=0," ",('t12'!D28+'t12'!#REF!)/$E28)</f>
        <v>#REF!</v>
      </c>
      <c r="J28" s="508">
        <f>IF($E28=0," ",'t12'!E28/$E28)</f>
        <v>1</v>
      </c>
      <c r="K28" s="508">
        <f>IF($E28=0," ",'t12'!F28/$E28)</f>
        <v>1524</v>
      </c>
      <c r="L28" s="508">
        <f>IF($E28=0," ",'t12'!G28/$E28)</f>
        <v>2785</v>
      </c>
      <c r="M28" s="509" t="e">
        <f t="shared" si="0"/>
        <v>#REF!</v>
      </c>
      <c r="N28" s="510">
        <f>IF($E28=0," ",'t12'!H28/$E28)</f>
        <v>0</v>
      </c>
      <c r="O28" s="510">
        <f>IF($E28=0," ",'t12'!I28/$E28)</f>
        <v>0</v>
      </c>
      <c r="P28" s="508">
        <f>IF($E28=0," ",'t13'!W28/$E28)</f>
        <v>1264</v>
      </c>
      <c r="Q28" s="508">
        <f>IF($E28=0," ",SUM('t13'!C28:L28)/$E28)</f>
        <v>1815</v>
      </c>
      <c r="R28" s="508">
        <f>IF($E28=0," ",(SUM('t13'!M28:T28)+'t13'!V28)/$E28)</f>
        <v>12595</v>
      </c>
      <c r="S28" s="509">
        <f t="shared" si="2"/>
        <v>15674</v>
      </c>
      <c r="T28" s="510">
        <f>IF($E28=0," ",'t13'!U28/$E28)</f>
        <v>0</v>
      </c>
      <c r="V28"/>
      <c r="W28"/>
      <c r="X28"/>
      <c r="Y28"/>
    </row>
    <row r="29" spans="1:25" s="89" customFormat="1" x14ac:dyDescent="0.2">
      <c r="A29" s="112" t="str">
        <f>'t1'!A29</f>
        <v>POSIZIONE ECONOMICA B2  VIGILE DEL FUOCO</v>
      </c>
      <c r="B29" s="86" t="str">
        <f>'t1'!B29</f>
        <v>032VF1</v>
      </c>
      <c r="C29" s="506">
        <f>'t1'!K29+'t1'!L29</f>
        <v>19</v>
      </c>
      <c r="D29" s="506">
        <f>('t1'!K29+'t1'!L29)-SUM('t3'!C29:F29,'t3'!I29:J29)+SUM('t3'!K29:N29)</f>
        <v>19</v>
      </c>
      <c r="E29" s="507">
        <f>'t12'!C29/12</f>
        <v>24.46</v>
      </c>
      <c r="F29" s="507">
        <f>IF($D29&gt;0,(('t11'!C31+'t11'!D31)/$D29)," ")</f>
        <v>42.16</v>
      </c>
      <c r="G29" s="507">
        <f>IF($D29&gt;0,(SUM('t11'!E31:P31)/$D29)," ")</f>
        <v>7.95</v>
      </c>
      <c r="H29" s="507">
        <f>IF($D29&gt;0,(SUM('t11'!Q31:T31)/$D29)," ")</f>
        <v>0</v>
      </c>
      <c r="I29" s="508" t="e">
        <f>IF($E29=0," ",('t12'!D29+'t12'!#REF!)/$E29)</f>
        <v>#REF!</v>
      </c>
      <c r="J29" s="508">
        <f>IF($E29=0," ",'t12'!E29/$E29)</f>
        <v>0</v>
      </c>
      <c r="K29" s="508">
        <f>IF($E29=0," ",'t12'!F29/$E29)</f>
        <v>161</v>
      </c>
      <c r="L29" s="508">
        <f>IF($E29=0," ",'t12'!G29/$E29)</f>
        <v>1795</v>
      </c>
      <c r="M29" s="509" t="e">
        <f t="shared" si="0"/>
        <v>#REF!</v>
      </c>
      <c r="N29" s="510">
        <f>IF($E29=0," ",'t12'!H29/$E29)</f>
        <v>0</v>
      </c>
      <c r="O29" s="510">
        <f>IF($E29=0," ",'t12'!I29/$E29)</f>
        <v>0</v>
      </c>
      <c r="P29" s="508">
        <f>IF($E29=0," ",'t13'!W29/$E29)</f>
        <v>1406</v>
      </c>
      <c r="Q29" s="508">
        <f>IF($E29=0," ",SUM('t13'!C29:L29)/$E29)</f>
        <v>1816</v>
      </c>
      <c r="R29" s="508">
        <f>IF($E29=0," ",(SUM('t13'!M29:T29)+'t13'!V29)/$E29)</f>
        <v>10620</v>
      </c>
      <c r="S29" s="509">
        <f t="shared" si="2"/>
        <v>13842</v>
      </c>
      <c r="T29" s="510">
        <f>IF($E29=0," ",'t13'!U29/$E29)</f>
        <v>0</v>
      </c>
      <c r="V29"/>
      <c r="W29"/>
      <c r="X29"/>
      <c r="Y29"/>
    </row>
    <row r="30" spans="1:25" s="89" customFormat="1" x14ac:dyDescent="0.2">
      <c r="A30" s="112" t="str">
        <f>'t1'!A30</f>
        <v>POSIZIONE ECONOMICA A</v>
      </c>
      <c r="B30" s="86" t="str">
        <f>'t1'!B30</f>
        <v>022000</v>
      </c>
      <c r="C30" s="506">
        <f>'t1'!K30+'t1'!L30</f>
        <v>220</v>
      </c>
      <c r="D30" s="506">
        <f>('t1'!K30+'t1'!L30)-SUM('t3'!C30:F30,'t3'!I30:J30)+SUM('t3'!K30:N30)</f>
        <v>220</v>
      </c>
      <c r="E30" s="507">
        <f>'t12'!C30/12</f>
        <v>210.89</v>
      </c>
      <c r="F30" s="507">
        <f>IF($D30&gt;0,(('t11'!C32+'t11'!D32)/$D30)," ")</f>
        <v>31.23</v>
      </c>
      <c r="G30" s="507">
        <f>IF($D30&gt;0,(SUM('t11'!E32:P32)/$D30)," ")</f>
        <v>36.090000000000003</v>
      </c>
      <c r="H30" s="507">
        <f>IF($D30&gt;0,(SUM('t11'!Q32:T32)/$D30)," ")</f>
        <v>1.88</v>
      </c>
      <c r="I30" s="508" t="e">
        <f>IF($E30=0," ",('t12'!D30+'t12'!#REF!)/$E30)</f>
        <v>#REF!</v>
      </c>
      <c r="J30" s="508">
        <f>IF($E30=0," ",'t12'!E30/$E30)</f>
        <v>24</v>
      </c>
      <c r="K30" s="508">
        <f>IF($E30=0," ",'t12'!F30/$E30)</f>
        <v>910</v>
      </c>
      <c r="L30" s="508">
        <f>IF($E30=0," ",'t12'!G30/$E30)</f>
        <v>1659</v>
      </c>
      <c r="M30" s="509" t="e">
        <f t="shared" si="0"/>
        <v>#REF!</v>
      </c>
      <c r="N30" s="510">
        <f>IF($E30=0," ",'t12'!H30/$E30)</f>
        <v>0</v>
      </c>
      <c r="O30" s="510">
        <f>IF($E30=0," ",'t12'!I30/$E30)</f>
        <v>11</v>
      </c>
      <c r="P30" s="508">
        <f>IF($E30=0," ",'t13'!W30/$E30)</f>
        <v>120</v>
      </c>
      <c r="Q30" s="508">
        <f>IF($E30=0," ",SUM('t13'!C30:L30)/$E30)</f>
        <v>2194</v>
      </c>
      <c r="R30" s="508">
        <f>IF($E30=0," ",(SUM('t13'!M30:T30)+'t13'!V30)/$E30)</f>
        <v>1239</v>
      </c>
      <c r="S30" s="509">
        <f t="shared" si="2"/>
        <v>3553</v>
      </c>
      <c r="T30" s="510">
        <f>IF($E30=0," ",'t13'!U30/$E30)</f>
        <v>0</v>
      </c>
      <c r="V30"/>
      <c r="W30"/>
      <c r="X30"/>
      <c r="Y30"/>
    </row>
    <row r="31" spans="1:25" s="89" customFormat="1" x14ac:dyDescent="0.2">
      <c r="A31" s="112" t="str">
        <f>'t1'!A31</f>
        <v>CONTRATTISTI</v>
      </c>
      <c r="B31" s="86" t="str">
        <f>'t1'!B31</f>
        <v>000061</v>
      </c>
      <c r="C31" s="506">
        <f>'t1'!K31+'t1'!L31</f>
        <v>128</v>
      </c>
      <c r="D31" s="506">
        <f>('t1'!K31+'t1'!L31)-SUM('t3'!C31:F31,'t3'!I31:J31)+SUM('t3'!K31:N31)</f>
        <v>128</v>
      </c>
      <c r="E31" s="507">
        <f>'t12'!C31/12</f>
        <v>123.2</v>
      </c>
      <c r="F31" s="507">
        <f>IF($D31&gt;0,(('t11'!C33+'t11'!D33)/$D31)," ")</f>
        <v>29.09</v>
      </c>
      <c r="G31" s="507">
        <f>IF($D31&gt;0,(SUM('t11'!E33:P33)/$D31)," ")</f>
        <v>12.16</v>
      </c>
      <c r="H31" s="507">
        <f>IF($D31&gt;0,(SUM('t11'!Q33:T33)/$D31)," ")</f>
        <v>0.59</v>
      </c>
      <c r="I31" s="508" t="e">
        <f>IF($E31=0," ",('t12'!D31+'t12'!#REF!)/$E31)</f>
        <v>#REF!</v>
      </c>
      <c r="J31" s="508">
        <f>IF($E31=0," ",'t12'!E31/$E31)</f>
        <v>0</v>
      </c>
      <c r="K31" s="508">
        <f>IF($E31=0," ",'t12'!F31/$E31)</f>
        <v>1401</v>
      </c>
      <c r="L31" s="508">
        <f>IF($E31=0," ",'t12'!G31/$E31)</f>
        <v>3806</v>
      </c>
      <c r="M31" s="509" t="e">
        <f t="shared" si="0"/>
        <v>#REF!</v>
      </c>
      <c r="N31" s="510">
        <f>IF($E31=0," ",'t12'!H31/$E31)</f>
        <v>0</v>
      </c>
      <c r="O31" s="510">
        <f>IF($E31=0," ",'t12'!I31/$E31)</f>
        <v>0</v>
      </c>
      <c r="P31" s="508">
        <f>IF($E31=0," ",'t13'!W31/$E31)</f>
        <v>0</v>
      </c>
      <c r="Q31" s="508">
        <f>IF($E31=0," ",SUM('t13'!C31:L31)/$E31)</f>
        <v>578</v>
      </c>
      <c r="R31" s="508">
        <f>IF($E31=0," ",(SUM('t13'!M31:T31)+'t13'!V31)/$E31)</f>
        <v>779</v>
      </c>
      <c r="S31" s="509">
        <f t="shared" si="2"/>
        <v>1357</v>
      </c>
      <c r="T31" s="510">
        <f>IF($E31=0," ",'t13'!U31/$E31)</f>
        <v>0</v>
      </c>
      <c r="V31"/>
      <c r="W31"/>
      <c r="X31"/>
      <c r="Y31"/>
    </row>
    <row r="32" spans="1:25" s="89" customFormat="1" x14ac:dyDescent="0.2">
      <c r="A32" s="112" t="str">
        <f>'t1'!A32</f>
        <v>SEGRETARIO GENERALE CCIAA</v>
      </c>
      <c r="B32" s="86" t="str">
        <f>'t1'!B32</f>
        <v>0D0104</v>
      </c>
      <c r="C32" s="506">
        <f>'t1'!K32+'t1'!L32</f>
        <v>0</v>
      </c>
      <c r="D32" s="506">
        <f>('t1'!K32+'t1'!L32)-SUM('t3'!C32:F32,'t3'!I32:J32)+SUM('t3'!K32:N32)</f>
        <v>0</v>
      </c>
      <c r="E32" s="507">
        <f>'t12'!C32/12</f>
        <v>0</v>
      </c>
      <c r="F32" s="507" t="str">
        <f>IF($D32&gt;0,(('t11'!C34+'t11'!D34)/$D32)," ")</f>
        <v xml:space="preserve"> </v>
      </c>
      <c r="G32" s="507" t="str">
        <f>IF($D32&gt;0,(SUM('t11'!E34:P34)/$D32)," ")</f>
        <v xml:space="preserve"> </v>
      </c>
      <c r="H32" s="507" t="str">
        <f>IF($D32&gt;0,(SUM('t11'!Q34:T34)/$D32)," ")</f>
        <v xml:space="preserve"> </v>
      </c>
      <c r="I32" s="508" t="str">
        <f>IF($E32=0," ",('t12'!D32+'t12'!#REF!)/$E32)</f>
        <v xml:space="preserve"> </v>
      </c>
      <c r="J32" s="508" t="str">
        <f>IF($E32=0," ",'t12'!E32/$E32)</f>
        <v xml:space="preserve"> </v>
      </c>
      <c r="K32" s="508" t="str">
        <f>IF($E32=0," ",'t12'!F32/$E32)</f>
        <v xml:space="preserve"> </v>
      </c>
      <c r="L32" s="508" t="str">
        <f>IF($E32=0," ",'t12'!G32/$E32)</f>
        <v xml:space="preserve"> </v>
      </c>
      <c r="M32" s="509">
        <f t="shared" si="0"/>
        <v>0</v>
      </c>
      <c r="N32" s="510" t="str">
        <f>IF($E32=0," ",'t12'!H32/$E32)</f>
        <v xml:space="preserve"> </v>
      </c>
      <c r="O32" s="510" t="str">
        <f>IF($E32=0," ",'t12'!I32/$E32)</f>
        <v xml:space="preserve"> </v>
      </c>
      <c r="P32" s="508" t="str">
        <f>IF($E32=0," ",'t13'!W32/$E32)</f>
        <v xml:space="preserve"> </v>
      </c>
      <c r="Q32" s="508" t="str">
        <f>IF($E32=0," ",SUM('t13'!C32:L32)/$E32)</f>
        <v xml:space="preserve"> </v>
      </c>
      <c r="R32" s="508" t="str">
        <f>IF($E32=0," ",(SUM('t13'!M32:T32)+'t13'!V32)/$E32)</f>
        <v xml:space="preserve"> </v>
      </c>
      <c r="S32" s="509">
        <f t="shared" si="2"/>
        <v>0</v>
      </c>
      <c r="T32" s="510" t="str">
        <f>IF($E32=0," ",'t13'!U32/$E32)</f>
        <v xml:space="preserve"> </v>
      </c>
      <c r="V32"/>
      <c r="W32"/>
      <c r="X32"/>
      <c r="Y32"/>
    </row>
    <row r="33" spans="1:25" s="89" customFormat="1" x14ac:dyDescent="0.2">
      <c r="A33" s="112" t="str">
        <f>'t1'!A33</f>
        <v>COLLABORATORE A TEMPO DETERMINATO</v>
      </c>
      <c r="B33" s="86" t="str">
        <f>'t1'!B33</f>
        <v>000096</v>
      </c>
      <c r="C33" s="506">
        <f>'t1'!K33+'t1'!L33</f>
        <v>11</v>
      </c>
      <c r="D33" s="506">
        <f>('t1'!K33+'t1'!L33)-SUM('t3'!C33:F33,'t3'!I33:J33)+SUM('t3'!K33:N33)</f>
        <v>11</v>
      </c>
      <c r="E33" s="507">
        <f>'t12'!C33/12</f>
        <v>10.39</v>
      </c>
      <c r="F33" s="507">
        <f>IF($D33&gt;0,(('t11'!C35+'t11'!D35)/$D33)," ")</f>
        <v>15.36</v>
      </c>
      <c r="G33" s="507">
        <f>IF($D33&gt;0,(SUM('t11'!E35:P35)/$D33)," ")</f>
        <v>12.45</v>
      </c>
      <c r="H33" s="507">
        <f>IF($D33&gt;0,(SUM('t11'!Q35:T35)/$D33)," ")</f>
        <v>0</v>
      </c>
      <c r="I33" s="508" t="e">
        <f>IF($E33=0," ",('t12'!D33+'t12'!#REF!)/$E33)</f>
        <v>#REF!</v>
      </c>
      <c r="J33" s="508">
        <f>IF($E33=0," ",'t12'!E33/$E33)</f>
        <v>0</v>
      </c>
      <c r="K33" s="508">
        <f>IF($E33=0," ",'t12'!F33/$E33)</f>
        <v>0</v>
      </c>
      <c r="L33" s="508">
        <f>IF($E33=0," ",'t12'!G33/$E33)</f>
        <v>4643</v>
      </c>
      <c r="M33" s="509" t="e">
        <f t="shared" si="0"/>
        <v>#REF!</v>
      </c>
      <c r="N33" s="510">
        <f>IF($E33=0," ",'t12'!H33/$E33)</f>
        <v>5399</v>
      </c>
      <c r="O33" s="510">
        <f>IF($E33=0," ",'t12'!I33/$E33)</f>
        <v>0</v>
      </c>
      <c r="P33" s="508">
        <f>IF($E33=0," ",'t13'!W33/$E33)</f>
        <v>8</v>
      </c>
      <c r="Q33" s="508">
        <f>IF($E33=0," ",SUM('t13'!C33:L33)/$E33)</f>
        <v>2716</v>
      </c>
      <c r="R33" s="508">
        <f>IF($E33=0," ",(SUM('t13'!M33:T33)+'t13'!V33)/$E33)</f>
        <v>22</v>
      </c>
      <c r="S33" s="509">
        <f t="shared" si="2"/>
        <v>2746</v>
      </c>
      <c r="T33" s="510">
        <f>IF($E33=0," ",'t13'!U33/$E33)</f>
        <v>0</v>
      </c>
      <c r="V33"/>
      <c r="W33"/>
      <c r="X33"/>
      <c r="Y33"/>
    </row>
    <row r="35" spans="1:25" x14ac:dyDescent="0.2">
      <c r="A35" s="3" t="str">
        <f>"(*)  Personale presente al 31/12/"&amp;'t1'!L1&amp;" di T1 - personale dell'amministrazione comandato/distaccato, fuori ruolo e in esonero di T3 + personale esterno comandato/distaccato e fuori ruolo di T3"</f>
        <v>(*)  Personale presente al 31/12/2024 di T1 - personale dell'amministrazione comandato/distaccato, fuori ruolo e in esonero di T3 + personale esterno comandato/distaccato e fuori ruolo di T3</v>
      </c>
    </row>
    <row r="36" spans="1:25" x14ac:dyDescent="0.2">
      <c r="A36" s="3" t="s">
        <v>495</v>
      </c>
    </row>
  </sheetData>
  <sheetProtection password="DD41" sheet="1" formatColumns="0" selectLockedCells="1" selectUnlockedCells="1"/>
  <mergeCells count="4">
    <mergeCell ref="A1:I1"/>
    <mergeCell ref="F4:H4"/>
    <mergeCell ref="I4:O4"/>
    <mergeCell ref="P4:T4"/>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80" orientation="landscape" horizontalDpi="0" verticalDpi="0" r:id="rId1"/>
  <headerFooter alignWithMargins="0"/>
  <colBreaks count="1" manualBreakCount="1">
    <brk id="15"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2">
    <pageSetUpPr fitToPage="1"/>
  </sheetPr>
  <dimension ref="A1:T57"/>
  <sheetViews>
    <sheetView showGridLines="0" workbookViewId="0">
      <pane ySplit="5" topLeftCell="A6" activePane="bottomLeft" state="frozen"/>
      <selection activeCell="A2" sqref="A2"/>
      <selection pane="bottomLeft" activeCell="B5" sqref="B5"/>
    </sheetView>
  </sheetViews>
  <sheetFormatPr defaultColWidth="9.33203125" defaultRowHeight="11.25" x14ac:dyDescent="0.2"/>
  <cols>
    <col min="1" max="1" width="37.6640625" style="3" customWidth="1"/>
    <col min="2" max="2" width="10" style="2" bestFit="1" customWidth="1"/>
    <col min="3" max="7" width="13.33203125" style="2" customWidth="1"/>
    <col min="8" max="8" width="15" style="2" customWidth="1"/>
    <col min="9" max="10" width="13.33203125" style="2" customWidth="1"/>
    <col min="11" max="16384" width="9.33203125" style="3"/>
  </cols>
  <sheetData>
    <row r="1" spans="1:13" ht="43.5" customHeight="1" x14ac:dyDescent="0.2">
      <c r="A1" s="1486" t="str">
        <f>'t1'!A1</f>
        <v>REGIONE VALLE D'AOSTA - anno 2024</v>
      </c>
      <c r="B1" s="1486"/>
      <c r="C1" s="1486"/>
      <c r="D1" s="1486"/>
      <c r="E1" s="1486"/>
      <c r="F1" s="1486"/>
      <c r="G1" s="1486"/>
      <c r="H1" s="1486"/>
      <c r="I1" s="273"/>
      <c r="J1" s="270"/>
      <c r="M1"/>
    </row>
    <row r="2" spans="1:13" ht="21" customHeight="1" x14ac:dyDescent="0.2">
      <c r="B2" s="3"/>
      <c r="C2" s="3"/>
      <c r="D2" s="1573"/>
      <c r="E2" s="1573"/>
      <c r="F2" s="1573"/>
      <c r="G2" s="1573"/>
      <c r="H2" s="1573"/>
      <c r="I2" s="1573"/>
      <c r="J2" s="1573"/>
      <c r="M2"/>
    </row>
    <row r="3" spans="1:13" s="168" customFormat="1" ht="21" customHeight="1" x14ac:dyDescent="0.25">
      <c r="A3" s="168" t="str">
        <f>"Tavola di coerenza tra presenti al 31.12."&amp;'t1'!L1&amp;" e presenti al 31.12."&amp;'t1'!L1-1&amp;" (Squadratura 1)"</f>
        <v>Tavola di coerenza tra presenti al 31.12.2024 e presenti al 31.12.2023 (Squadratura 1)</v>
      </c>
      <c r="B3" s="272"/>
    </row>
    <row r="4" spans="1:13" ht="36.75" customHeight="1" x14ac:dyDescent="0.2">
      <c r="A4" s="150" t="s">
        <v>192</v>
      </c>
      <c r="B4" s="151" t="s">
        <v>191</v>
      </c>
      <c r="C4" s="151" t="str">
        <f>"Presenti 31.12."&amp;'t1'!L1-1&amp;" (Tab 1)"</f>
        <v>Presenti 31.12.2023 (Tab 1)</v>
      </c>
      <c r="D4" s="151" t="s">
        <v>184</v>
      </c>
      <c r="E4" s="151" t="s">
        <v>239</v>
      </c>
      <c r="F4" s="151" t="s">
        <v>186</v>
      </c>
      <c r="G4" s="151" t="s">
        <v>185</v>
      </c>
      <c r="H4" s="151" t="str">
        <f>"Presenti 31.12."&amp;'t1'!L1&amp;" (Calcolati)"</f>
        <v>Presenti 31.12.2024 (Calcolati)</v>
      </c>
      <c r="I4" s="151" t="str">
        <f>"Presenti 31.12."&amp;'t1'!L1&amp;" (Tab 1)"</f>
        <v>Presenti 31.12.2024 (Tab 1)</v>
      </c>
      <c r="J4" s="151" t="s">
        <v>201</v>
      </c>
    </row>
    <row r="5" spans="1:13" x14ac:dyDescent="0.2">
      <c r="A5" s="156"/>
      <c r="B5" s="151"/>
      <c r="C5" s="157" t="s">
        <v>193</v>
      </c>
      <c r="D5" s="157" t="s">
        <v>194</v>
      </c>
      <c r="E5" s="157" t="s">
        <v>195</v>
      </c>
      <c r="F5" s="157" t="s">
        <v>196</v>
      </c>
      <c r="G5" s="157" t="s">
        <v>197</v>
      </c>
      <c r="H5" s="157" t="s">
        <v>198</v>
      </c>
      <c r="I5" s="157" t="s">
        <v>199</v>
      </c>
      <c r="J5" s="157" t="s">
        <v>200</v>
      </c>
    </row>
    <row r="6" spans="1:13" ht="14.1" customHeight="1" x14ac:dyDescent="0.2">
      <c r="A6" s="16" t="str">
        <f>'t1'!A6</f>
        <v>SEGRETARIO I FASCIA</v>
      </c>
      <c r="B6" s="158" t="str">
        <f>'t1'!B6</f>
        <v>0D0102</v>
      </c>
      <c r="C6" s="292">
        <f>'t1'!C6+'t1'!D6</f>
        <v>0</v>
      </c>
      <c r="D6" s="292">
        <f>'t5'!U7+'t5'!V7</f>
        <v>0</v>
      </c>
      <c r="E6" s="293">
        <f>'t6'!U7+'t6'!V7</f>
        <v>0</v>
      </c>
      <c r="F6" s="293">
        <f>'t4'!AE15</f>
        <v>0</v>
      </c>
      <c r="G6" s="293">
        <f>'t4'!C43</f>
        <v>0</v>
      </c>
      <c r="H6" s="293">
        <f>C6-D6+E6-F6+G6</f>
        <v>0</v>
      </c>
      <c r="I6" s="293">
        <f>'t1'!K6+'t1'!L6</f>
        <v>0</v>
      </c>
      <c r="J6" s="86" t="str">
        <f>IF(H6=I6,"OK","ERRORE")</f>
        <v>OK</v>
      </c>
    </row>
    <row r="7" spans="1:13" ht="14.1" customHeight="1" x14ac:dyDescent="0.2">
      <c r="A7" s="16" t="str">
        <f>'t1'!A7</f>
        <v>SEGRETARIO II FASCIA</v>
      </c>
      <c r="B7" s="158" t="str">
        <f>'t1'!B7</f>
        <v>0D0103</v>
      </c>
      <c r="C7" s="292">
        <f>'t1'!C7+'t1'!D7</f>
        <v>0</v>
      </c>
      <c r="D7" s="292">
        <f>'t5'!U8+'t5'!V8</f>
        <v>0</v>
      </c>
      <c r="E7" s="293">
        <f>'t6'!U8+'t6'!V8</f>
        <v>0</v>
      </c>
      <c r="F7" s="293">
        <f>'t4'!AE16</f>
        <v>0</v>
      </c>
      <c r="G7" s="293">
        <f>'t4'!D43</f>
        <v>0</v>
      </c>
      <c r="H7" s="293">
        <f>C7-D7+E7-F7+G7</f>
        <v>0</v>
      </c>
      <c r="I7" s="293">
        <f>'t1'!K7+'t1'!L7</f>
        <v>0</v>
      </c>
      <c r="J7" s="86" t="str">
        <f>IF(H7=I7,"OK","ERRORE")</f>
        <v>OK</v>
      </c>
    </row>
    <row r="8" spans="1:13" ht="14.1" customHeight="1" x14ac:dyDescent="0.2">
      <c r="A8" s="16" t="str">
        <f>'t1'!A8</f>
        <v>SEGRETARIO III FASCIA</v>
      </c>
      <c r="B8" s="158" t="str">
        <f>'t1'!B8</f>
        <v>0D0485</v>
      </c>
      <c r="C8" s="292">
        <f>'t1'!C8+'t1'!D8</f>
        <v>0</v>
      </c>
      <c r="D8" s="292">
        <f>'t5'!U9+'t5'!V9</f>
        <v>0</v>
      </c>
      <c r="E8" s="293">
        <f>'t6'!U9+'t6'!V9</f>
        <v>0</v>
      </c>
      <c r="F8" s="293">
        <f>'t4'!AE17</f>
        <v>0</v>
      </c>
      <c r="G8" s="293">
        <f>'t4'!E43</f>
        <v>0</v>
      </c>
      <c r="H8" s="293">
        <f>C8-D8+E8-F8+G8</f>
        <v>0</v>
      </c>
      <c r="I8" s="293">
        <f>'t1'!K8+'t1'!L8</f>
        <v>0</v>
      </c>
      <c r="J8" s="86" t="str">
        <f>IF(H8=I8,"OK","ERRORE")</f>
        <v>OK</v>
      </c>
    </row>
    <row r="9" spans="1:13" ht="14.1" customHeight="1" x14ac:dyDescent="0.2">
      <c r="A9" s="16" t="str">
        <f>'t1'!A9</f>
        <v>DIRIGENTI</v>
      </c>
      <c r="B9" s="158" t="str">
        <f>'t1'!B9</f>
        <v>0D0164</v>
      </c>
      <c r="C9" s="292">
        <f>'t1'!C9+'t1'!D9</f>
        <v>110</v>
      </c>
      <c r="D9" s="292">
        <f>'t5'!U10+'t5'!V10</f>
        <v>9</v>
      </c>
      <c r="E9" s="293">
        <f>'t6'!U10+'t6'!V10</f>
        <v>9</v>
      </c>
      <c r="F9" s="293">
        <f>'t4'!AE18</f>
        <v>0</v>
      </c>
      <c r="G9" s="293">
        <f>'t4'!F43</f>
        <v>2</v>
      </c>
      <c r="H9" s="293">
        <f>C9-D9+E9-F9+G9</f>
        <v>112</v>
      </c>
      <c r="I9" s="293">
        <f>'t1'!K9+'t1'!L9</f>
        <v>112</v>
      </c>
      <c r="J9" s="86" t="str">
        <f>IF(H9=I9,"OK","ERRORE")</f>
        <v>OK</v>
      </c>
    </row>
    <row r="10" spans="1:13" ht="14.1" customHeight="1" x14ac:dyDescent="0.2">
      <c r="A10" s="16" t="str">
        <f>'t1'!A10</f>
        <v>POSIZIONE ECONOMICA D</v>
      </c>
      <c r="B10" s="158" t="str">
        <f>'t1'!B10</f>
        <v>047000</v>
      </c>
      <c r="C10" s="292">
        <f>'t1'!C10+'t1'!D10</f>
        <v>455</v>
      </c>
      <c r="D10" s="292">
        <f>'t5'!U11+'t5'!V11</f>
        <v>12</v>
      </c>
      <c r="E10" s="293">
        <f>'t6'!U11+'t6'!V11</f>
        <v>15</v>
      </c>
      <c r="F10" s="293">
        <f>'t4'!AE19</f>
        <v>2</v>
      </c>
      <c r="G10" s="293">
        <f>'t4'!G43</f>
        <v>4</v>
      </c>
      <c r="H10" s="293">
        <f t="shared" ref="H10:H25" si="0">C10-D10+E10-F10+G10</f>
        <v>460</v>
      </c>
      <c r="I10" s="293">
        <f>'t1'!K10+'t1'!L10</f>
        <v>460</v>
      </c>
      <c r="J10" s="86" t="str">
        <f t="shared" ref="J10:J34" si="1">IF(H10=I10,"OK","ERRORE")</f>
        <v>OK</v>
      </c>
    </row>
    <row r="11" spans="1:13" ht="14.1" customHeight="1" x14ac:dyDescent="0.2">
      <c r="A11" s="16" t="str">
        <f>'t1'!A11</f>
        <v>POSIZIONE ECONOMICA D - FORESTALE</v>
      </c>
      <c r="B11" s="158" t="str">
        <f>'t1'!B11</f>
        <v>047FOR</v>
      </c>
      <c r="C11" s="292">
        <f>'t1'!C11+'t1'!D11</f>
        <v>0</v>
      </c>
      <c r="D11" s="292">
        <f>'t5'!U12+'t5'!V12</f>
        <v>0</v>
      </c>
      <c r="E11" s="293">
        <f>'t6'!U12+'t6'!V12</f>
        <v>0</v>
      </c>
      <c r="F11" s="293">
        <f>'t4'!AE20</f>
        <v>0</v>
      </c>
      <c r="G11" s="293">
        <f>'t4'!H43</f>
        <v>0</v>
      </c>
      <c r="H11" s="293">
        <f t="shared" si="0"/>
        <v>0</v>
      </c>
      <c r="I11" s="293">
        <f>'t1'!K11+'t1'!L11</f>
        <v>0</v>
      </c>
      <c r="J11" s="86" t="str">
        <f t="shared" si="1"/>
        <v>OK</v>
      </c>
    </row>
    <row r="12" spans="1:13" ht="14.1" customHeight="1" x14ac:dyDescent="0.2">
      <c r="A12" s="16" t="str">
        <f>'t1'!A12</f>
        <v>POSIZIONE ECONOMICA D  ISPETTORE ANTINCENDI DIRETTORE-VVFF</v>
      </c>
      <c r="B12" s="158" t="str">
        <f>'t1'!B12</f>
        <v>047IS3</v>
      </c>
      <c r="C12" s="292">
        <f>'t1'!C12+'t1'!D12</f>
        <v>1</v>
      </c>
      <c r="D12" s="292">
        <f>'t5'!U13+'t5'!V13</f>
        <v>0</v>
      </c>
      <c r="E12" s="293">
        <f>'t6'!U13+'t6'!V13</f>
        <v>0</v>
      </c>
      <c r="F12" s="293">
        <f>'t4'!AE21</f>
        <v>1</v>
      </c>
      <c r="G12" s="293">
        <f>'t4'!I43</f>
        <v>0</v>
      </c>
      <c r="H12" s="293">
        <f t="shared" si="0"/>
        <v>0</v>
      </c>
      <c r="I12" s="293">
        <f>'t1'!K12+'t1'!L12</f>
        <v>0</v>
      </c>
      <c r="J12" s="86" t="str">
        <f t="shared" si="1"/>
        <v>OK</v>
      </c>
    </row>
    <row r="13" spans="1:13" ht="14.1" customHeight="1" x14ac:dyDescent="0.2">
      <c r="A13" s="16" t="str">
        <f>'t1'!A13</f>
        <v>POSIZIONE ECONOMICA D  ISPETTORE ANTINCENDI  VVFF</v>
      </c>
      <c r="B13" s="158" t="str">
        <f>'t1'!B13</f>
        <v>047IS2</v>
      </c>
      <c r="C13" s="292">
        <f>'t1'!C13+'t1'!D13</f>
        <v>4</v>
      </c>
      <c r="D13" s="292">
        <f>'t5'!U14+'t5'!V14</f>
        <v>0</v>
      </c>
      <c r="E13" s="293">
        <f>'t6'!U14+'t6'!V14</f>
        <v>0</v>
      </c>
      <c r="F13" s="293">
        <f>'t4'!AE22</f>
        <v>0</v>
      </c>
      <c r="G13" s="293">
        <f>'t4'!J43</f>
        <v>1</v>
      </c>
      <c r="H13" s="293">
        <f t="shared" si="0"/>
        <v>5</v>
      </c>
      <c r="I13" s="293">
        <f>'t1'!K13+'t1'!L13</f>
        <v>5</v>
      </c>
      <c r="J13" s="86" t="str">
        <f t="shared" si="1"/>
        <v>OK</v>
      </c>
    </row>
    <row r="14" spans="1:13" ht="14.1" customHeight="1" x14ac:dyDescent="0.2">
      <c r="A14" s="16" t="str">
        <f>'t1'!A14</f>
        <v>POSIZIONE ECONOMICA C2</v>
      </c>
      <c r="B14" s="158" t="str">
        <f>'t1'!B14</f>
        <v>042000</v>
      </c>
      <c r="C14" s="292">
        <f>'t1'!C14+'t1'!D14</f>
        <v>694</v>
      </c>
      <c r="D14" s="293">
        <f>'t5'!U15+'t5'!V15</f>
        <v>31</v>
      </c>
      <c r="E14" s="293">
        <f>'t6'!U15+'t6'!V15</f>
        <v>86</v>
      </c>
      <c r="F14" s="293">
        <f>'t4'!AE23</f>
        <v>5</v>
      </c>
      <c r="G14" s="293">
        <f>'t4'!K43</f>
        <v>22</v>
      </c>
      <c r="H14" s="293">
        <f t="shared" si="0"/>
        <v>766</v>
      </c>
      <c r="I14" s="293">
        <f>'t1'!K14+'t1'!L14</f>
        <v>766</v>
      </c>
      <c r="J14" s="86" t="str">
        <f t="shared" si="1"/>
        <v>OK</v>
      </c>
    </row>
    <row r="15" spans="1:13" ht="14.1" customHeight="1" x14ac:dyDescent="0.2">
      <c r="A15" s="16" t="str">
        <f>'t1'!A15</f>
        <v>POSIZIONE ECONOMICA C1</v>
      </c>
      <c r="B15" s="158" t="str">
        <f>'t1'!B15</f>
        <v>040000</v>
      </c>
      <c r="C15" s="292">
        <f>'t1'!C15+'t1'!D15</f>
        <v>27</v>
      </c>
      <c r="D15" s="293">
        <f>'t5'!U16+'t5'!V16</f>
        <v>0</v>
      </c>
      <c r="E15" s="293">
        <f>'t6'!U16+'t6'!V16</f>
        <v>0</v>
      </c>
      <c r="F15" s="293">
        <f>'t4'!AE24</f>
        <v>2</v>
      </c>
      <c r="G15" s="293">
        <f>'t4'!L43</f>
        <v>0</v>
      </c>
      <c r="H15" s="293">
        <f t="shared" si="0"/>
        <v>25</v>
      </c>
      <c r="I15" s="293">
        <f>'t1'!K15+'t1'!L15</f>
        <v>25</v>
      </c>
      <c r="J15" s="86" t="str">
        <f t="shared" si="1"/>
        <v>OK</v>
      </c>
    </row>
    <row r="16" spans="1:13" ht="14.1" customHeight="1" x14ac:dyDescent="0.2">
      <c r="A16" s="16" t="str">
        <f>'t1'!A16</f>
        <v>ISPETTORE FORESTALE C21F</v>
      </c>
      <c r="B16" s="158" t="str">
        <f>'t1'!B16</f>
        <v>042324</v>
      </c>
      <c r="C16" s="292">
        <f>'t1'!C16+'t1'!D16</f>
        <v>20</v>
      </c>
      <c r="D16" s="293">
        <f>'t5'!U17+'t5'!V17</f>
        <v>1</v>
      </c>
      <c r="E16" s="293">
        <f>'t6'!U17+'t6'!V17</f>
        <v>0</v>
      </c>
      <c r="F16" s="293">
        <f>'t4'!AE25</f>
        <v>0</v>
      </c>
      <c r="G16" s="293">
        <f>'t4'!M43</f>
        <v>0</v>
      </c>
      <c r="H16" s="293">
        <f t="shared" si="0"/>
        <v>19</v>
      </c>
      <c r="I16" s="293">
        <f>'t1'!K16+'t1'!L16</f>
        <v>19</v>
      </c>
      <c r="J16" s="86" t="str">
        <f t="shared" si="1"/>
        <v>OK</v>
      </c>
    </row>
    <row r="17" spans="1:10" ht="14.1" customHeight="1" x14ac:dyDescent="0.2">
      <c r="A17" s="16" t="str">
        <f>'t1'!A17</f>
        <v>SOVRAINTENDENTE C1F</v>
      </c>
      <c r="B17" s="158" t="str">
        <f>'t1'!B17</f>
        <v>040211</v>
      </c>
      <c r="C17" s="292">
        <f>'t1'!C17+'t1'!D17</f>
        <v>21</v>
      </c>
      <c r="D17" s="292">
        <f>'t5'!U18+'t5'!V18</f>
        <v>1</v>
      </c>
      <c r="E17" s="293">
        <f>'t6'!U18+'t6'!V18</f>
        <v>0</v>
      </c>
      <c r="F17" s="293">
        <f>'t4'!AE26</f>
        <v>0</v>
      </c>
      <c r="G17" s="293">
        <f>'t4'!N43</f>
        <v>7</v>
      </c>
      <c r="H17" s="293">
        <f t="shared" si="0"/>
        <v>27</v>
      </c>
      <c r="I17" s="293">
        <f>'t1'!K17+'t1'!L17</f>
        <v>27</v>
      </c>
      <c r="J17" s="86" t="str">
        <f t="shared" si="1"/>
        <v>OK</v>
      </c>
    </row>
    <row r="18" spans="1:10" ht="14.1" customHeight="1" x14ac:dyDescent="0.2">
      <c r="A18" s="16" t="str">
        <f>'t1'!A18</f>
        <v>POSIZIONE ECONOMICA C2  CAPO REPARTO  VVFF</v>
      </c>
      <c r="B18" s="158" t="str">
        <f>'t1'!B18</f>
        <v>042CR1</v>
      </c>
      <c r="C18" s="292">
        <f>'t1'!C18+'t1'!D18</f>
        <v>12</v>
      </c>
      <c r="D18" s="292">
        <f>'t5'!U19+'t5'!V19</f>
        <v>1</v>
      </c>
      <c r="E18" s="293">
        <f>'t6'!U19+'t6'!V19</f>
        <v>0</v>
      </c>
      <c r="F18" s="293">
        <f>'t4'!AE27</f>
        <v>0</v>
      </c>
      <c r="G18" s="293">
        <f>'t4'!O43</f>
        <v>0</v>
      </c>
      <c r="H18" s="293">
        <f t="shared" si="0"/>
        <v>11</v>
      </c>
      <c r="I18" s="293">
        <f>'t1'!K18+'t1'!L18</f>
        <v>11</v>
      </c>
      <c r="J18" s="86" t="str">
        <f t="shared" si="1"/>
        <v>OK</v>
      </c>
    </row>
    <row r="19" spans="1:10" ht="14.1" customHeight="1" x14ac:dyDescent="0.2">
      <c r="A19" s="16" t="str">
        <f>'t1'!A19</f>
        <v>POSIZIONE ECONOMICA C2  COLLAB. TECNICO ANTINCENDI  VVFF</v>
      </c>
      <c r="B19" s="158" t="str">
        <f>'t1'!B19</f>
        <v>042CA0</v>
      </c>
      <c r="C19" s="292">
        <f>'t1'!C19+'t1'!D19</f>
        <v>8</v>
      </c>
      <c r="D19" s="292">
        <f>'t5'!U20+'t5'!V20</f>
        <v>0</v>
      </c>
      <c r="E19" s="293">
        <f>'t6'!U20+'t6'!V20</f>
        <v>0</v>
      </c>
      <c r="F19" s="293">
        <f>'t4'!AE28</f>
        <v>0</v>
      </c>
      <c r="G19" s="293">
        <f>'t4'!P43</f>
        <v>0</v>
      </c>
      <c r="H19" s="293">
        <f t="shared" si="0"/>
        <v>8</v>
      </c>
      <c r="I19" s="293">
        <f>'t1'!K19+'t1'!L19</f>
        <v>8</v>
      </c>
      <c r="J19" s="86" t="str">
        <f t="shared" si="1"/>
        <v>OK</v>
      </c>
    </row>
    <row r="20" spans="1:10" ht="14.1" customHeight="1" x14ac:dyDescent="0.2">
      <c r="A20" s="16" t="str">
        <f>'t1'!A20</f>
        <v>POSIZIONE ECONOMICA C1  CAPO SQUADRA  VVFF</v>
      </c>
      <c r="B20" s="158" t="str">
        <f>'t1'!B20</f>
        <v>040CS1</v>
      </c>
      <c r="C20" s="292">
        <f>'t1'!C20+'t1'!D20</f>
        <v>33</v>
      </c>
      <c r="D20" s="292">
        <f>'t5'!U21+'t5'!V21</f>
        <v>2</v>
      </c>
      <c r="E20" s="293">
        <f>'t6'!U21+'t6'!V21</f>
        <v>0</v>
      </c>
      <c r="F20" s="293">
        <f>'t4'!AE29</f>
        <v>0</v>
      </c>
      <c r="G20" s="293">
        <f>'t4'!Q43</f>
        <v>0</v>
      </c>
      <c r="H20" s="293">
        <f t="shared" si="0"/>
        <v>31</v>
      </c>
      <c r="I20" s="293">
        <f>'t1'!K20+'t1'!L20</f>
        <v>31</v>
      </c>
      <c r="J20" s="86" t="str">
        <f t="shared" si="1"/>
        <v>OK</v>
      </c>
    </row>
    <row r="21" spans="1:10" ht="14.1" customHeight="1" x14ac:dyDescent="0.2">
      <c r="A21" s="16" t="str">
        <f>'t1'!A21</f>
        <v>POSIZIONE ECONOMICA B3</v>
      </c>
      <c r="B21" s="158" t="str">
        <f>'t1'!B21</f>
        <v>034000</v>
      </c>
      <c r="C21" s="292">
        <f>'t1'!C21+'t1'!D21</f>
        <v>11</v>
      </c>
      <c r="D21" s="292">
        <f>'t5'!U22+'t5'!V22</f>
        <v>0</v>
      </c>
      <c r="E21" s="293">
        <f>'t6'!U22+'t6'!V22</f>
        <v>1</v>
      </c>
      <c r="F21" s="293">
        <f>'t4'!AE30</f>
        <v>1</v>
      </c>
      <c r="G21" s="293">
        <f>'t4'!R43</f>
        <v>2</v>
      </c>
      <c r="H21" s="293">
        <f t="shared" si="0"/>
        <v>13</v>
      </c>
      <c r="I21" s="293">
        <f>'t1'!K21+'t1'!L21</f>
        <v>13</v>
      </c>
      <c r="J21" s="86" t="str">
        <f t="shared" si="1"/>
        <v>OK</v>
      </c>
    </row>
    <row r="22" spans="1:10" ht="14.1" customHeight="1" x14ac:dyDescent="0.2">
      <c r="A22" s="16" t="str">
        <f>'t1'!A22</f>
        <v>POSIZIONE ECONOMICA B2S</v>
      </c>
      <c r="B22" s="158" t="str">
        <f>'t1'!B22</f>
        <v>033000</v>
      </c>
      <c r="C22" s="292">
        <f>'t1'!C22+'t1'!D22</f>
        <v>5</v>
      </c>
      <c r="D22" s="292">
        <f>'t5'!U23+'t5'!V23</f>
        <v>0</v>
      </c>
      <c r="E22" s="293">
        <f>'t6'!U23+'t6'!V23</f>
        <v>0</v>
      </c>
      <c r="F22" s="293">
        <f>'t4'!AE31</f>
        <v>0</v>
      </c>
      <c r="G22" s="293">
        <f>'t4'!S43</f>
        <v>0</v>
      </c>
      <c r="H22" s="293">
        <f t="shared" si="0"/>
        <v>5</v>
      </c>
      <c r="I22" s="293">
        <f>'t1'!K22+'t1'!L22</f>
        <v>5</v>
      </c>
      <c r="J22" s="86" t="str">
        <f t="shared" si="1"/>
        <v>OK</v>
      </c>
    </row>
    <row r="23" spans="1:10" ht="14.1" customHeight="1" x14ac:dyDescent="0.2">
      <c r="A23" s="16" t="str">
        <f>'t1'!A23</f>
        <v>POSIZIONE ECONOMICA B2</v>
      </c>
      <c r="B23" s="158" t="str">
        <f>'t1'!B23</f>
        <v>032000</v>
      </c>
      <c r="C23" s="292">
        <f>'t1'!C23+'t1'!D23</f>
        <v>573</v>
      </c>
      <c r="D23" s="292">
        <f>'t5'!U24+'t5'!V24</f>
        <v>38</v>
      </c>
      <c r="E23" s="293">
        <f>'t6'!U24+'t6'!V24</f>
        <v>3</v>
      </c>
      <c r="F23" s="293">
        <f>'t4'!AE32</f>
        <v>23</v>
      </c>
      <c r="G23" s="293">
        <f>'t4'!T43</f>
        <v>1</v>
      </c>
      <c r="H23" s="293">
        <f t="shared" si="0"/>
        <v>516</v>
      </c>
      <c r="I23" s="293">
        <f>'t1'!K23+'t1'!L23</f>
        <v>516</v>
      </c>
      <c r="J23" s="86" t="str">
        <f t="shared" si="1"/>
        <v>OK</v>
      </c>
    </row>
    <row r="24" spans="1:10" ht="14.1" customHeight="1" x14ac:dyDescent="0.2">
      <c r="A24" s="16" t="str">
        <f>'t1'!A24</f>
        <v>POSIZIONE ECONOMICA B1</v>
      </c>
      <c r="B24" s="158" t="str">
        <f>'t1'!B24</f>
        <v>030000</v>
      </c>
      <c r="C24" s="292">
        <f>'t1'!C24+'t1'!D24</f>
        <v>28</v>
      </c>
      <c r="D24" s="292">
        <f>'t5'!U25+'t5'!V25</f>
        <v>5</v>
      </c>
      <c r="E24" s="293">
        <f>'t6'!U25+'t6'!V25</f>
        <v>0</v>
      </c>
      <c r="F24" s="293">
        <f>'t4'!AE33</f>
        <v>0</v>
      </c>
      <c r="G24" s="293">
        <f>'t4'!U43</f>
        <v>0</v>
      </c>
      <c r="H24" s="293">
        <f t="shared" si="0"/>
        <v>23</v>
      </c>
      <c r="I24" s="293">
        <f>'t1'!K24+'t1'!L24</f>
        <v>23</v>
      </c>
      <c r="J24" s="86" t="str">
        <f t="shared" si="1"/>
        <v>OK</v>
      </c>
    </row>
    <row r="25" spans="1:10" ht="14.1" customHeight="1" x14ac:dyDescent="0.2">
      <c r="A25" s="16" t="str">
        <f>'t1'!A25</f>
        <v>POS. EC. B3-GUARDIA  FORESTALE 5 A.</v>
      </c>
      <c r="B25" s="158" t="str">
        <f>'t1'!B25</f>
        <v>034561</v>
      </c>
      <c r="C25" s="292">
        <f>'t1'!C25+'t1'!D25</f>
        <v>47</v>
      </c>
      <c r="D25" s="292">
        <f>'t5'!U26+'t5'!V26</f>
        <v>5</v>
      </c>
      <c r="E25" s="293">
        <f>'t6'!U26+'t6'!V26</f>
        <v>0</v>
      </c>
      <c r="F25" s="293">
        <f>'t4'!AE34</f>
        <v>1</v>
      </c>
      <c r="G25" s="293">
        <f>'t4'!V43</f>
        <v>0</v>
      </c>
      <c r="H25" s="293">
        <f t="shared" si="0"/>
        <v>41</v>
      </c>
      <c r="I25" s="293">
        <f>'t1'!K25+'t1'!L25</f>
        <v>41</v>
      </c>
      <c r="J25" s="86" t="str">
        <f t="shared" si="1"/>
        <v>OK</v>
      </c>
    </row>
    <row r="26" spans="1:10" ht="14.1" customHeight="1" x14ac:dyDescent="0.2">
      <c r="A26" s="16" t="str">
        <f>'t1'!A26</f>
        <v>POS. EC. B2-GUARDIA  FORESTALE</v>
      </c>
      <c r="B26" s="158" t="str">
        <f>'t1'!B26</f>
        <v>032561</v>
      </c>
      <c r="C26" s="292">
        <f>'t1'!C26+'t1'!D26</f>
        <v>11</v>
      </c>
      <c r="D26" s="292">
        <f>'t5'!U27+'t5'!V27</f>
        <v>0</v>
      </c>
      <c r="E26" s="293">
        <f>'t6'!U27+'t6'!V27</f>
        <v>17</v>
      </c>
      <c r="F26" s="293">
        <f>'t4'!AE35</f>
        <v>6</v>
      </c>
      <c r="G26" s="293">
        <f>'t4'!W43</f>
        <v>2</v>
      </c>
      <c r="H26" s="293">
        <f t="shared" ref="H26:H33" si="2">C26-D26+E26-F26+G26</f>
        <v>24</v>
      </c>
      <c r="I26" s="293">
        <f>'t1'!K26+'t1'!L26</f>
        <v>24</v>
      </c>
      <c r="J26" s="86" t="str">
        <f t="shared" ref="J26:J33" si="3">IF(H26=I26,"OK","ERRORE")</f>
        <v>OK</v>
      </c>
    </row>
    <row r="27" spans="1:10" ht="14.1" customHeight="1" x14ac:dyDescent="0.2">
      <c r="A27" s="16" t="str">
        <f>'t1'!A27</f>
        <v>POSIZIONE ECONOMICA B1 - FORESTALE</v>
      </c>
      <c r="B27" s="158" t="str">
        <f>'t1'!B27</f>
        <v>030FOR</v>
      </c>
      <c r="C27" s="292">
        <f>'t1'!C27+'t1'!D27</f>
        <v>0</v>
      </c>
      <c r="D27" s="292">
        <f>'t5'!U28+'t5'!V28</f>
        <v>0</v>
      </c>
      <c r="E27" s="293">
        <f>'t6'!U28+'t6'!V28</f>
        <v>0</v>
      </c>
      <c r="F27" s="293">
        <f>'t4'!AE36</f>
        <v>0</v>
      </c>
      <c r="G27" s="293">
        <f>'t4'!X43</f>
        <v>0</v>
      </c>
      <c r="H27" s="293">
        <f t="shared" si="2"/>
        <v>0</v>
      </c>
      <c r="I27" s="293">
        <f>'t1'!K27+'t1'!L27</f>
        <v>0</v>
      </c>
      <c r="J27" s="86" t="str">
        <f t="shared" si="3"/>
        <v>OK</v>
      </c>
    </row>
    <row r="28" spans="1:10" ht="14.1" customHeight="1" x14ac:dyDescent="0.2">
      <c r="A28" s="16" t="str">
        <f>'t1'!A28</f>
        <v>POSIZIONE ECONOMICA B3  VIGILE DEL FUOCO &gt; 5 ANNI</v>
      </c>
      <c r="B28" s="158" t="str">
        <f>'t1'!B28</f>
        <v>034VF5</v>
      </c>
      <c r="C28" s="292">
        <f>'t1'!C28+'t1'!D28</f>
        <v>92</v>
      </c>
      <c r="D28" s="292">
        <f>'t5'!U29+'t5'!V29</f>
        <v>0</v>
      </c>
      <c r="E28" s="293">
        <f>'t6'!U29+'t6'!V29</f>
        <v>0</v>
      </c>
      <c r="F28" s="293">
        <f>'t4'!AE37</f>
        <v>0</v>
      </c>
      <c r="G28" s="293">
        <f>'t4'!Y43</f>
        <v>7</v>
      </c>
      <c r="H28" s="293">
        <f t="shared" si="2"/>
        <v>99</v>
      </c>
      <c r="I28" s="293">
        <f>'t1'!K28+'t1'!L28</f>
        <v>99</v>
      </c>
      <c r="J28" s="86" t="str">
        <f t="shared" si="3"/>
        <v>OK</v>
      </c>
    </row>
    <row r="29" spans="1:10" ht="14.1" customHeight="1" x14ac:dyDescent="0.2">
      <c r="A29" s="16" t="str">
        <f>'t1'!A29</f>
        <v>POSIZIONE ECONOMICA B2  VIGILE DEL FUOCO</v>
      </c>
      <c r="B29" s="158" t="str">
        <f>'t1'!B29</f>
        <v>032VF1</v>
      </c>
      <c r="C29" s="292">
        <f>'t1'!C29+'t1'!D29</f>
        <v>25</v>
      </c>
      <c r="D29" s="292">
        <f>'t5'!U30+'t5'!V30</f>
        <v>0</v>
      </c>
      <c r="E29" s="293">
        <f>'t6'!U30+'t6'!V30</f>
        <v>1</v>
      </c>
      <c r="F29" s="293">
        <f>'t4'!AE38</f>
        <v>7</v>
      </c>
      <c r="G29" s="293">
        <f>'t4'!Z43</f>
        <v>0</v>
      </c>
      <c r="H29" s="293">
        <f t="shared" si="2"/>
        <v>19</v>
      </c>
      <c r="I29" s="293">
        <f>'t1'!K29+'t1'!L29</f>
        <v>19</v>
      </c>
      <c r="J29" s="86" t="str">
        <f t="shared" si="3"/>
        <v>OK</v>
      </c>
    </row>
    <row r="30" spans="1:10" ht="14.1" customHeight="1" x14ac:dyDescent="0.2">
      <c r="A30" s="16" t="str">
        <f>'t1'!A30</f>
        <v>POSIZIONE ECONOMICA A</v>
      </c>
      <c r="B30" s="158" t="str">
        <f>'t1'!B30</f>
        <v>022000</v>
      </c>
      <c r="C30" s="292">
        <f>'t1'!C30+'t1'!D30</f>
        <v>198</v>
      </c>
      <c r="D30" s="292">
        <f>'t5'!U31+'t5'!V31</f>
        <v>18</v>
      </c>
      <c r="E30" s="293">
        <f>'t6'!U31+'t6'!V31</f>
        <v>40</v>
      </c>
      <c r="F30" s="293">
        <f>'t4'!AE39</f>
        <v>0</v>
      </c>
      <c r="G30" s="293">
        <f>'t4'!AA43</f>
        <v>0</v>
      </c>
      <c r="H30" s="293">
        <f t="shared" si="2"/>
        <v>220</v>
      </c>
      <c r="I30" s="293">
        <f>'t1'!K30+'t1'!L30</f>
        <v>220</v>
      </c>
      <c r="J30" s="86" t="str">
        <f t="shared" si="3"/>
        <v>OK</v>
      </c>
    </row>
    <row r="31" spans="1:10" ht="14.1" customHeight="1" x14ac:dyDescent="0.2">
      <c r="A31" s="16" t="str">
        <f>'t1'!A31</f>
        <v>CONTRATTISTI</v>
      </c>
      <c r="B31" s="158" t="str">
        <f>'t1'!B31</f>
        <v>000061</v>
      </c>
      <c r="C31" s="292">
        <f>'t1'!C31+'t1'!D31</f>
        <v>133</v>
      </c>
      <c r="D31" s="292">
        <f>'t5'!U32+'t5'!V32</f>
        <v>14</v>
      </c>
      <c r="E31" s="293">
        <f>'t6'!U32+'t6'!V32</f>
        <v>9</v>
      </c>
      <c r="F31" s="293">
        <f>'t4'!AE40</f>
        <v>0</v>
      </c>
      <c r="G31" s="293">
        <f>'t4'!AB43</f>
        <v>0</v>
      </c>
      <c r="H31" s="293">
        <f t="shared" si="2"/>
        <v>128</v>
      </c>
      <c r="I31" s="293">
        <f>'t1'!K31+'t1'!L31</f>
        <v>128</v>
      </c>
      <c r="J31" s="86" t="str">
        <f t="shared" si="3"/>
        <v>OK</v>
      </c>
    </row>
    <row r="32" spans="1:10" ht="14.1" customHeight="1" x14ac:dyDescent="0.2">
      <c r="A32" s="16" t="str">
        <f>'t1'!A32</f>
        <v>SEGRETARIO GENERALE CCIAA</v>
      </c>
      <c r="B32" s="158" t="str">
        <f>'t1'!B32</f>
        <v>0D0104</v>
      </c>
      <c r="C32" s="292">
        <f>'t1'!C32+'t1'!D32</f>
        <v>0</v>
      </c>
      <c r="D32" s="292">
        <f>'t5'!U33+'t5'!V33</f>
        <v>0</v>
      </c>
      <c r="E32" s="293">
        <f>'t6'!U33+'t6'!V33</f>
        <v>0</v>
      </c>
      <c r="F32" s="293">
        <f>'t4'!AE41</f>
        <v>0</v>
      </c>
      <c r="G32" s="293">
        <f>'t4'!AC43</f>
        <v>0</v>
      </c>
      <c r="H32" s="293">
        <f t="shared" si="2"/>
        <v>0</v>
      </c>
      <c r="I32" s="293">
        <f>'t1'!K32+'t1'!L32</f>
        <v>0</v>
      </c>
      <c r="J32" s="86" t="str">
        <f t="shared" si="3"/>
        <v>OK</v>
      </c>
    </row>
    <row r="33" spans="1:20" ht="14.1" customHeight="1" x14ac:dyDescent="0.2">
      <c r="A33" s="16" t="str">
        <f>'t1'!A33</f>
        <v>COLLABORATORE A TEMPO DETERMINATO</v>
      </c>
      <c r="B33" s="158" t="str">
        <f>'t1'!B33</f>
        <v>000096</v>
      </c>
      <c r="C33" s="292">
        <f>'t1'!C33+'t1'!D33</f>
        <v>10</v>
      </c>
      <c r="D33" s="292">
        <f>'t5'!U34+'t5'!V34</f>
        <v>1</v>
      </c>
      <c r="E33" s="293">
        <f>'t6'!U34+'t6'!V34</f>
        <v>2</v>
      </c>
      <c r="F33" s="293">
        <f>'t4'!AE42</f>
        <v>0</v>
      </c>
      <c r="G33" s="293">
        <f>'t4'!AD43</f>
        <v>0</v>
      </c>
      <c r="H33" s="293">
        <f t="shared" si="2"/>
        <v>11</v>
      </c>
      <c r="I33" s="293">
        <f>'t1'!K33+'t1'!L33</f>
        <v>11</v>
      </c>
      <c r="J33" s="86" t="str">
        <f t="shared" si="3"/>
        <v>OK</v>
      </c>
    </row>
    <row r="34" spans="1:20" s="299" customFormat="1" ht="15.75" customHeight="1" x14ac:dyDescent="0.2">
      <c r="A34" s="316" t="str">
        <f>'t1'!A34</f>
        <v>TOTALE</v>
      </c>
      <c r="B34" s="178"/>
      <c r="C34" s="317">
        <f t="shared" ref="C34:I34" si="4">SUM(C6:C33)</f>
        <v>2518</v>
      </c>
      <c r="D34" s="317">
        <f t="shared" si="4"/>
        <v>138</v>
      </c>
      <c r="E34" s="317">
        <f t="shared" si="4"/>
        <v>183</v>
      </c>
      <c r="F34" s="317">
        <f t="shared" si="4"/>
        <v>48</v>
      </c>
      <c r="G34" s="317">
        <f t="shared" si="4"/>
        <v>48</v>
      </c>
      <c r="H34" s="317">
        <f t="shared" si="4"/>
        <v>2563</v>
      </c>
      <c r="I34" s="317">
        <f t="shared" si="4"/>
        <v>2563</v>
      </c>
      <c r="J34" s="150" t="str">
        <f t="shared" si="1"/>
        <v>OK</v>
      </c>
    </row>
    <row r="39" spans="1:20" x14ac:dyDescent="0.2">
      <c r="F39" s="313"/>
      <c r="G39" s="313"/>
      <c r="H39" s="313"/>
      <c r="I39" s="313"/>
      <c r="J39" s="313"/>
      <c r="K39" s="314"/>
      <c r="L39" s="314"/>
      <c r="M39" s="314"/>
      <c r="N39" s="314"/>
      <c r="O39" s="314"/>
      <c r="P39" s="314"/>
      <c r="Q39" s="314"/>
      <c r="R39" s="314"/>
      <c r="S39" s="314"/>
      <c r="T39" s="314"/>
    </row>
    <row r="43" spans="1:20" x14ac:dyDescent="0.2">
      <c r="G43" s="313"/>
    </row>
    <row r="44" spans="1:20" x14ac:dyDescent="0.2">
      <c r="G44" s="313"/>
    </row>
    <row r="45" spans="1:20" x14ac:dyDescent="0.2">
      <c r="G45" s="313"/>
    </row>
    <row r="46" spans="1:20" x14ac:dyDescent="0.2">
      <c r="G46" s="313"/>
    </row>
    <row r="47" spans="1:20" x14ac:dyDescent="0.2">
      <c r="G47" s="313"/>
    </row>
    <row r="48" spans="1:20" x14ac:dyDescent="0.2">
      <c r="G48" s="314"/>
    </row>
    <row r="49" spans="7:7" x14ac:dyDescent="0.2">
      <c r="G49" s="314"/>
    </row>
    <row r="50" spans="7:7" x14ac:dyDescent="0.2">
      <c r="G50" s="314"/>
    </row>
    <row r="51" spans="7:7" x14ac:dyDescent="0.2">
      <c r="G51" s="314"/>
    </row>
    <row r="52" spans="7:7" x14ac:dyDescent="0.2">
      <c r="G52" s="314"/>
    </row>
    <row r="53" spans="7:7" x14ac:dyDescent="0.2">
      <c r="G53" s="314"/>
    </row>
    <row r="54" spans="7:7" x14ac:dyDescent="0.2">
      <c r="G54" s="314"/>
    </row>
    <row r="55" spans="7:7" x14ac:dyDescent="0.2">
      <c r="G55" s="314"/>
    </row>
    <row r="56" spans="7:7" x14ac:dyDescent="0.2">
      <c r="G56" s="314"/>
    </row>
    <row r="57" spans="7:7" x14ac:dyDescent="0.2">
      <c r="G57" s="314"/>
    </row>
  </sheetData>
  <sheetProtection password="DD41" sheet="1" formatColumns="0" selectLockedCells="1" selectUnlockedCells="1"/>
  <dataConsolidate/>
  <mergeCells count="2">
    <mergeCell ref="A1:H1"/>
    <mergeCell ref="D2:J2"/>
  </mergeCells>
  <phoneticPr fontId="30" type="noConversion"/>
  <printOptions horizontalCentered="1" verticalCentered="1"/>
  <pageMargins left="0" right="0" top="0.17" bottom="0.16" header="0.19" footer="0.19"/>
  <pageSetup paperSize="9" orientation="landscape" verticalDpi="4294967292"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3">
    <pageSetUpPr fitToPage="1"/>
  </sheetPr>
  <dimension ref="A1:M35"/>
  <sheetViews>
    <sheetView showGridLines="0" workbookViewId="0">
      <pane xSplit="2" ySplit="6" topLeftCell="C12" activePane="bottomRight" state="frozen"/>
      <selection activeCell="A2" sqref="A2"/>
      <selection pane="topRight" activeCell="A2" sqref="A2"/>
      <selection pane="bottomLeft" activeCell="A2" sqref="A2"/>
      <selection pane="bottomRight" activeCell="B6" sqref="B6"/>
    </sheetView>
  </sheetViews>
  <sheetFormatPr defaultColWidth="9.33203125" defaultRowHeight="11.25" x14ac:dyDescent="0.2"/>
  <cols>
    <col min="1" max="1" width="35.6640625" style="3" customWidth="1"/>
    <col min="2" max="2" width="12.5" style="2" customWidth="1"/>
    <col min="3" max="3" width="11" style="2" customWidth="1"/>
    <col min="4" max="5" width="12.5" style="2" customWidth="1"/>
    <col min="6" max="7" width="10.6640625" style="2" customWidth="1"/>
    <col min="8" max="8" width="11" style="2" customWidth="1"/>
    <col min="9" max="10" width="12.5" style="2" customWidth="1"/>
    <col min="11" max="11" width="10.6640625" style="2" customWidth="1"/>
    <col min="12" max="12" width="10.6640625" style="3" customWidth="1"/>
    <col min="13" max="16384" width="9.33203125" style="3"/>
  </cols>
  <sheetData>
    <row r="1" spans="1:13" ht="43.5" customHeight="1" x14ac:dyDescent="0.2">
      <c r="A1" s="1486" t="str">
        <f>'t1'!A1</f>
        <v>REGIONE VALLE D'AOSTA - anno 2024</v>
      </c>
      <c r="B1" s="1486"/>
      <c r="C1" s="1486"/>
      <c r="D1" s="1486"/>
      <c r="E1" s="1486"/>
      <c r="F1" s="1486"/>
      <c r="G1" s="1486"/>
      <c r="H1" s="1486"/>
      <c r="I1" s="1486"/>
      <c r="J1" s="1486"/>
      <c r="K1" s="3"/>
      <c r="L1" s="270"/>
      <c r="M1"/>
    </row>
    <row r="2" spans="1:13" ht="21" customHeight="1" x14ac:dyDescent="0.2">
      <c r="B2" s="3"/>
      <c r="C2" s="3"/>
      <c r="D2" s="3"/>
      <c r="E2" s="1573"/>
      <c r="F2" s="1573"/>
      <c r="G2" s="1573"/>
      <c r="H2" s="1573"/>
      <c r="I2" s="1573"/>
      <c r="J2" s="1573"/>
      <c r="K2" s="1573"/>
      <c r="L2" s="1573"/>
      <c r="M2"/>
    </row>
    <row r="3" spans="1:13" ht="21" customHeight="1" x14ac:dyDescent="0.25">
      <c r="A3" s="168" t="str">
        <f>"Tavola di coerenza tra presenti al 31.12."&amp;'t1'!L1&amp;" rilevati nelle Tabelle 1, 7, 8 e 9 (Squadratura 2)"</f>
        <v>Tavola di coerenza tra presenti al 31.12.2024 rilevati nelle Tabelle 1, 7, 8 e 9 (Squadratura 2)</v>
      </c>
      <c r="C3" s="3"/>
      <c r="D3" s="3"/>
      <c r="E3" s="3"/>
      <c r="F3" s="3"/>
      <c r="G3" s="3"/>
      <c r="H3" s="3"/>
      <c r="I3" s="3"/>
      <c r="J3" s="3"/>
      <c r="K3" s="3"/>
    </row>
    <row r="4" spans="1:13" s="85" customFormat="1" ht="11.25" customHeight="1" x14ac:dyDescent="0.2">
      <c r="A4" s="160"/>
      <c r="B4" s="160"/>
      <c r="C4" s="1574" t="s">
        <v>252</v>
      </c>
      <c r="D4" s="1575"/>
      <c r="E4" s="1575"/>
      <c r="F4" s="1575"/>
      <c r="G4" s="1576"/>
      <c r="H4" s="1574" t="s">
        <v>253</v>
      </c>
      <c r="I4" s="1575"/>
      <c r="J4" s="1575"/>
      <c r="K4" s="1575"/>
      <c r="L4" s="1576"/>
    </row>
    <row r="5" spans="1:13" ht="70.5" customHeight="1" x14ac:dyDescent="0.2">
      <c r="A5" s="151" t="s">
        <v>192</v>
      </c>
      <c r="B5" s="151" t="s">
        <v>191</v>
      </c>
      <c r="C5" s="159" t="str">
        <f>"Presenti 31.12."&amp;'t1'!L1&amp;" (Tab 1)"</f>
        <v>Presenti 31.12.2024 (Tab 1)</v>
      </c>
      <c r="D5" s="155" t="s">
        <v>202</v>
      </c>
      <c r="E5" s="155" t="s">
        <v>203</v>
      </c>
      <c r="F5" s="155" t="s">
        <v>14</v>
      </c>
      <c r="G5" s="155" t="s">
        <v>201</v>
      </c>
      <c r="H5" s="159" t="str">
        <f>"Presenti 31.12."&amp;'t1'!L1&amp;" (Tab 1)"</f>
        <v>Presenti 31.12.2024 (Tab 1)</v>
      </c>
      <c r="I5" s="155" t="s">
        <v>202</v>
      </c>
      <c r="J5" s="155" t="s">
        <v>203</v>
      </c>
      <c r="K5" s="155" t="s">
        <v>14</v>
      </c>
      <c r="L5" s="155" t="s">
        <v>201</v>
      </c>
    </row>
    <row r="6" spans="1:13" x14ac:dyDescent="0.2">
      <c r="A6" s="152"/>
      <c r="B6" s="152"/>
      <c r="C6" s="161" t="s">
        <v>193</v>
      </c>
      <c r="D6" s="161" t="s">
        <v>194</v>
      </c>
      <c r="E6" s="161" t="s">
        <v>195</v>
      </c>
      <c r="F6" s="161" t="s">
        <v>196</v>
      </c>
      <c r="G6" s="162" t="s">
        <v>219</v>
      </c>
      <c r="H6" s="161" t="s">
        <v>197</v>
      </c>
      <c r="I6" s="161" t="s">
        <v>217</v>
      </c>
      <c r="J6" s="161" t="s">
        <v>199</v>
      </c>
      <c r="K6" s="161" t="s">
        <v>207</v>
      </c>
      <c r="L6" s="162" t="s">
        <v>220</v>
      </c>
    </row>
    <row r="7" spans="1:13" ht="14.1" customHeight="1" x14ac:dyDescent="0.2">
      <c r="A7" s="112" t="str">
        <f>'t1'!A6</f>
        <v>SEGRETARIO I FASCIA</v>
      </c>
      <c r="B7" s="158" t="str">
        <f>'t1'!B6</f>
        <v>0D0102</v>
      </c>
      <c r="C7" s="292">
        <f>'t1'!K6</f>
        <v>0</v>
      </c>
      <c r="D7" s="292">
        <f>'t7'!W6</f>
        <v>0</v>
      </c>
      <c r="E7" s="293">
        <f>'t8'!AA6</f>
        <v>0</v>
      </c>
      <c r="F7" s="293">
        <f>'t9'!O6</f>
        <v>0</v>
      </c>
      <c r="G7" s="86" t="str">
        <f>IF(COUNTIF(C7:F7,C7)=4,"OK","ERRORE")</f>
        <v>OK</v>
      </c>
      <c r="H7" s="293">
        <f>'t1'!L6</f>
        <v>0</v>
      </c>
      <c r="I7" s="293">
        <f>'t7'!X6</f>
        <v>0</v>
      </c>
      <c r="J7" s="293">
        <f>'t8'!AB6</f>
        <v>0</v>
      </c>
      <c r="K7" s="292">
        <f>'t9'!P6</f>
        <v>0</v>
      </c>
      <c r="L7" s="86" t="str">
        <f>IF(COUNTIF(H7:K7,H7)=4,"OK","ERRORE")</f>
        <v>OK</v>
      </c>
    </row>
    <row r="8" spans="1:13" ht="14.1" customHeight="1" x14ac:dyDescent="0.2">
      <c r="A8" s="112" t="str">
        <f>'t1'!A7</f>
        <v>SEGRETARIO II FASCIA</v>
      </c>
      <c r="B8" s="158" t="str">
        <f>'t1'!B7</f>
        <v>0D0103</v>
      </c>
      <c r="C8" s="292">
        <f>'t1'!K7</f>
        <v>0</v>
      </c>
      <c r="D8" s="292">
        <f>'t7'!W7</f>
        <v>0</v>
      </c>
      <c r="E8" s="293">
        <f>'t8'!AA7</f>
        <v>0</v>
      </c>
      <c r="F8" s="293">
        <f>'t9'!O7</f>
        <v>0</v>
      </c>
      <c r="G8" s="86" t="str">
        <f>IF(COUNTIF(C8:F8,C8)=4,"OK","ERRORE")</f>
        <v>OK</v>
      </c>
      <c r="H8" s="293">
        <f>'t1'!L7</f>
        <v>0</v>
      </c>
      <c r="I8" s="293">
        <f>'t7'!X7</f>
        <v>0</v>
      </c>
      <c r="J8" s="293">
        <f>'t8'!AB7</f>
        <v>0</v>
      </c>
      <c r="K8" s="292">
        <f>'t9'!P7</f>
        <v>0</v>
      </c>
      <c r="L8" s="86" t="str">
        <f>IF(COUNTIF(H8:K8,H8)=4,"OK","ERRORE")</f>
        <v>OK</v>
      </c>
    </row>
    <row r="9" spans="1:13" ht="14.1" customHeight="1" x14ac:dyDescent="0.2">
      <c r="A9" s="112" t="str">
        <f>'t1'!A8</f>
        <v>SEGRETARIO III FASCIA</v>
      </c>
      <c r="B9" s="158" t="str">
        <f>'t1'!B8</f>
        <v>0D0485</v>
      </c>
      <c r="C9" s="292">
        <f>'t1'!K8</f>
        <v>0</v>
      </c>
      <c r="D9" s="292">
        <f>'t7'!W8</f>
        <v>0</v>
      </c>
      <c r="E9" s="293">
        <f>'t8'!AA8</f>
        <v>0</v>
      </c>
      <c r="F9" s="293">
        <f>'t9'!O8</f>
        <v>0</v>
      </c>
      <c r="G9" s="86" t="str">
        <f>IF(COUNTIF(C9:F9,C9)=4,"OK","ERRORE")</f>
        <v>OK</v>
      </c>
      <c r="H9" s="293">
        <f>'t1'!L8</f>
        <v>0</v>
      </c>
      <c r="I9" s="293">
        <f>'t7'!X8</f>
        <v>0</v>
      </c>
      <c r="J9" s="293">
        <f>'t8'!AB8</f>
        <v>0</v>
      </c>
      <c r="K9" s="292">
        <f>'t9'!P8</f>
        <v>0</v>
      </c>
      <c r="L9" s="86" t="str">
        <f>IF(COUNTIF(H9:K9,H9)=4,"OK","ERRORE")</f>
        <v>OK</v>
      </c>
    </row>
    <row r="10" spans="1:13" ht="14.1" customHeight="1" x14ac:dyDescent="0.2">
      <c r="A10" s="112" t="str">
        <f>'t1'!A9</f>
        <v>DIRIGENTI</v>
      </c>
      <c r="B10" s="158" t="str">
        <f>'t1'!B9</f>
        <v>0D0164</v>
      </c>
      <c r="C10" s="292">
        <f>'t1'!K9</f>
        <v>65</v>
      </c>
      <c r="D10" s="292">
        <f>'t7'!W9</f>
        <v>65</v>
      </c>
      <c r="E10" s="293">
        <f>'t8'!AA9</f>
        <v>65</v>
      </c>
      <c r="F10" s="293">
        <f>'t9'!O9</f>
        <v>65</v>
      </c>
      <c r="G10" s="86" t="str">
        <f>IF(COUNTIF(C10:F10,C10)=4,"OK","ERRORE")</f>
        <v>OK</v>
      </c>
      <c r="H10" s="293">
        <f>'t1'!L9</f>
        <v>47</v>
      </c>
      <c r="I10" s="293">
        <f>'t7'!X9</f>
        <v>47</v>
      </c>
      <c r="J10" s="293">
        <f>'t8'!AB9</f>
        <v>47</v>
      </c>
      <c r="K10" s="292">
        <f>'t9'!P9</f>
        <v>47</v>
      </c>
      <c r="L10" s="86" t="str">
        <f>IF(COUNTIF(H10:K10,H10)=4,"OK","ERRORE")</f>
        <v>OK</v>
      </c>
    </row>
    <row r="11" spans="1:13" ht="14.1" customHeight="1" x14ac:dyDescent="0.2">
      <c r="A11" s="112" t="str">
        <f>'t1'!A10</f>
        <v>POSIZIONE ECONOMICA D</v>
      </c>
      <c r="B11" s="158" t="str">
        <f>'t1'!B10</f>
        <v>047000</v>
      </c>
      <c r="C11" s="292">
        <f>'t1'!K10</f>
        <v>150</v>
      </c>
      <c r="D11" s="292">
        <f>'t7'!W10</f>
        <v>150</v>
      </c>
      <c r="E11" s="293">
        <f>'t8'!AA10</f>
        <v>150</v>
      </c>
      <c r="F11" s="293">
        <f>'t9'!O10</f>
        <v>150</v>
      </c>
      <c r="G11" s="86" t="str">
        <f t="shared" ref="G11:G35" si="0">IF(COUNTIF(C11:F11,C11)=4,"OK","ERRORE")</f>
        <v>OK</v>
      </c>
      <c r="H11" s="293">
        <f>'t1'!L10</f>
        <v>310</v>
      </c>
      <c r="I11" s="293">
        <f>'t7'!X10</f>
        <v>310</v>
      </c>
      <c r="J11" s="293">
        <f>'t8'!AB10</f>
        <v>310</v>
      </c>
      <c r="K11" s="292">
        <f>'t9'!P10</f>
        <v>310</v>
      </c>
      <c r="L11" s="86" t="str">
        <f t="shared" ref="L11:L35" si="1">IF(COUNTIF(H11:K11,H11)=4,"OK","ERRORE")</f>
        <v>OK</v>
      </c>
    </row>
    <row r="12" spans="1:13" ht="14.1" customHeight="1" x14ac:dyDescent="0.2">
      <c r="A12" s="112" t="str">
        <f>'t1'!A11</f>
        <v>POSIZIONE ECONOMICA D - FORESTALE</v>
      </c>
      <c r="B12" s="158" t="str">
        <f>'t1'!B11</f>
        <v>047FOR</v>
      </c>
      <c r="C12" s="292">
        <f>'t1'!K11</f>
        <v>0</v>
      </c>
      <c r="D12" s="292">
        <f>'t7'!W11</f>
        <v>0</v>
      </c>
      <c r="E12" s="293">
        <f>'t8'!AA11</f>
        <v>0</v>
      </c>
      <c r="F12" s="293">
        <f>'t9'!O11</f>
        <v>0</v>
      </c>
      <c r="G12" s="86" t="str">
        <f t="shared" si="0"/>
        <v>OK</v>
      </c>
      <c r="H12" s="293">
        <f>'t1'!L11</f>
        <v>0</v>
      </c>
      <c r="I12" s="293">
        <f>'t7'!X11</f>
        <v>0</v>
      </c>
      <c r="J12" s="293">
        <f>'t8'!AB11</f>
        <v>0</v>
      </c>
      <c r="K12" s="292">
        <f>'t9'!P11</f>
        <v>0</v>
      </c>
      <c r="L12" s="86" t="str">
        <f t="shared" si="1"/>
        <v>OK</v>
      </c>
    </row>
    <row r="13" spans="1:13" ht="14.1" customHeight="1" x14ac:dyDescent="0.2">
      <c r="A13" s="112" t="str">
        <f>'t1'!A12</f>
        <v>POSIZIONE ECONOMICA D  ISPETTORE ANTINCENDI DIRETTORE-VVFF</v>
      </c>
      <c r="B13" s="158" t="str">
        <f>'t1'!B12</f>
        <v>047IS3</v>
      </c>
      <c r="C13" s="292">
        <f>'t1'!K12</f>
        <v>0</v>
      </c>
      <c r="D13" s="292">
        <f>'t7'!W12</f>
        <v>0</v>
      </c>
      <c r="E13" s="293">
        <f>'t8'!AA12</f>
        <v>0</v>
      </c>
      <c r="F13" s="293">
        <f>'t9'!O12</f>
        <v>0</v>
      </c>
      <c r="G13" s="86" t="str">
        <f t="shared" si="0"/>
        <v>OK</v>
      </c>
      <c r="H13" s="293">
        <f>'t1'!L12</f>
        <v>0</v>
      </c>
      <c r="I13" s="293">
        <f>'t7'!X12</f>
        <v>0</v>
      </c>
      <c r="J13" s="293">
        <f>'t8'!AB12</f>
        <v>0</v>
      </c>
      <c r="K13" s="292">
        <f>'t9'!P12</f>
        <v>0</v>
      </c>
      <c r="L13" s="86" t="str">
        <f t="shared" si="1"/>
        <v>OK</v>
      </c>
    </row>
    <row r="14" spans="1:13" ht="14.1" customHeight="1" x14ac:dyDescent="0.2">
      <c r="A14" s="112" t="str">
        <f>'t1'!A13</f>
        <v>POSIZIONE ECONOMICA D  ISPETTORE ANTINCENDI  VVFF</v>
      </c>
      <c r="B14" s="158" t="str">
        <f>'t1'!B13</f>
        <v>047IS2</v>
      </c>
      <c r="C14" s="292">
        <f>'t1'!K13</f>
        <v>5</v>
      </c>
      <c r="D14" s="292">
        <f>'t7'!W13</f>
        <v>5</v>
      </c>
      <c r="E14" s="293">
        <f>'t8'!AA13</f>
        <v>5</v>
      </c>
      <c r="F14" s="293">
        <f>'t9'!O13</f>
        <v>5</v>
      </c>
      <c r="G14" s="86" t="str">
        <f t="shared" si="0"/>
        <v>OK</v>
      </c>
      <c r="H14" s="293">
        <f>'t1'!L13</f>
        <v>0</v>
      </c>
      <c r="I14" s="293">
        <f>'t7'!X13</f>
        <v>0</v>
      </c>
      <c r="J14" s="293">
        <f>'t8'!AB13</f>
        <v>0</v>
      </c>
      <c r="K14" s="292">
        <f>'t9'!P13</f>
        <v>0</v>
      </c>
      <c r="L14" s="86" t="str">
        <f t="shared" si="1"/>
        <v>OK</v>
      </c>
    </row>
    <row r="15" spans="1:13" ht="14.1" customHeight="1" x14ac:dyDescent="0.2">
      <c r="A15" s="112" t="str">
        <f>'t1'!A14</f>
        <v>POSIZIONE ECONOMICA C2</v>
      </c>
      <c r="B15" s="158" t="str">
        <f>'t1'!B14</f>
        <v>042000</v>
      </c>
      <c r="C15" s="292">
        <f>'t1'!K14</f>
        <v>282</v>
      </c>
      <c r="D15" s="292">
        <f>'t7'!W14</f>
        <v>282</v>
      </c>
      <c r="E15" s="293">
        <f>'t8'!AA14</f>
        <v>282</v>
      </c>
      <c r="F15" s="293">
        <f>'t9'!O14</f>
        <v>282</v>
      </c>
      <c r="G15" s="86" t="str">
        <f t="shared" si="0"/>
        <v>OK</v>
      </c>
      <c r="H15" s="293">
        <f>'t1'!L14</f>
        <v>484</v>
      </c>
      <c r="I15" s="293">
        <f>'t7'!X14</f>
        <v>484</v>
      </c>
      <c r="J15" s="293">
        <f>'t8'!AB14</f>
        <v>484</v>
      </c>
      <c r="K15" s="292">
        <f>'t9'!P14</f>
        <v>484</v>
      </c>
      <c r="L15" s="86" t="str">
        <f t="shared" si="1"/>
        <v>OK</v>
      </c>
    </row>
    <row r="16" spans="1:13" ht="14.1" customHeight="1" x14ac:dyDescent="0.2">
      <c r="A16" s="112" t="str">
        <f>'t1'!A15</f>
        <v>POSIZIONE ECONOMICA C1</v>
      </c>
      <c r="B16" s="158" t="str">
        <f>'t1'!B15</f>
        <v>040000</v>
      </c>
      <c r="C16" s="292">
        <f>'t1'!K15</f>
        <v>11</v>
      </c>
      <c r="D16" s="292">
        <f>'t7'!W15</f>
        <v>11</v>
      </c>
      <c r="E16" s="293">
        <f>'t8'!AA15</f>
        <v>11</v>
      </c>
      <c r="F16" s="293">
        <f>'t9'!O15</f>
        <v>11</v>
      </c>
      <c r="G16" s="86" t="str">
        <f t="shared" si="0"/>
        <v>OK</v>
      </c>
      <c r="H16" s="293">
        <f>'t1'!L15</f>
        <v>14</v>
      </c>
      <c r="I16" s="293">
        <f>'t7'!X15</f>
        <v>14</v>
      </c>
      <c r="J16" s="293">
        <f>'t8'!AB15</f>
        <v>14</v>
      </c>
      <c r="K16" s="292">
        <f>'t9'!P15</f>
        <v>14</v>
      </c>
      <c r="L16" s="86" t="str">
        <f t="shared" si="1"/>
        <v>OK</v>
      </c>
    </row>
    <row r="17" spans="1:12" ht="14.1" customHeight="1" x14ac:dyDescent="0.2">
      <c r="A17" s="112" t="str">
        <f>'t1'!A16</f>
        <v>ISPETTORE FORESTALE C21F</v>
      </c>
      <c r="B17" s="158" t="str">
        <f>'t1'!B16</f>
        <v>042324</v>
      </c>
      <c r="C17" s="292">
        <f>'t1'!K16</f>
        <v>14</v>
      </c>
      <c r="D17" s="292">
        <f>'t7'!W16</f>
        <v>14</v>
      </c>
      <c r="E17" s="293">
        <f>'t8'!AA16</f>
        <v>14</v>
      </c>
      <c r="F17" s="293">
        <f>'t9'!O16</f>
        <v>14</v>
      </c>
      <c r="G17" s="86" t="str">
        <f t="shared" si="0"/>
        <v>OK</v>
      </c>
      <c r="H17" s="293">
        <f>'t1'!L16</f>
        <v>5</v>
      </c>
      <c r="I17" s="293">
        <f>'t7'!X16</f>
        <v>5</v>
      </c>
      <c r="J17" s="293">
        <f>'t8'!AB16</f>
        <v>5</v>
      </c>
      <c r="K17" s="292">
        <f>'t9'!P16</f>
        <v>5</v>
      </c>
      <c r="L17" s="86" t="str">
        <f t="shared" si="1"/>
        <v>OK</v>
      </c>
    </row>
    <row r="18" spans="1:12" ht="14.1" customHeight="1" x14ac:dyDescent="0.2">
      <c r="A18" s="112" t="str">
        <f>'t1'!A17</f>
        <v>SOVRAINTENDENTE C1F</v>
      </c>
      <c r="B18" s="158" t="str">
        <f>'t1'!B17</f>
        <v>040211</v>
      </c>
      <c r="C18" s="292">
        <f>'t1'!K17</f>
        <v>19</v>
      </c>
      <c r="D18" s="292">
        <f>'t7'!W17</f>
        <v>19</v>
      </c>
      <c r="E18" s="293">
        <f>'t8'!AA17</f>
        <v>19</v>
      </c>
      <c r="F18" s="293">
        <f>'t9'!O17</f>
        <v>19</v>
      </c>
      <c r="G18" s="86" t="str">
        <f t="shared" si="0"/>
        <v>OK</v>
      </c>
      <c r="H18" s="293">
        <f>'t1'!L17</f>
        <v>8</v>
      </c>
      <c r="I18" s="293">
        <f>'t7'!X17</f>
        <v>8</v>
      </c>
      <c r="J18" s="293">
        <f>'t8'!AB17</f>
        <v>8</v>
      </c>
      <c r="K18" s="292">
        <f>'t9'!P17</f>
        <v>8</v>
      </c>
      <c r="L18" s="86" t="str">
        <f t="shared" si="1"/>
        <v>OK</v>
      </c>
    </row>
    <row r="19" spans="1:12" ht="14.1" customHeight="1" x14ac:dyDescent="0.2">
      <c r="A19" s="112" t="str">
        <f>'t1'!A18</f>
        <v>POSIZIONE ECONOMICA C2  CAPO REPARTO  VVFF</v>
      </c>
      <c r="B19" s="158" t="str">
        <f>'t1'!B18</f>
        <v>042CR1</v>
      </c>
      <c r="C19" s="292">
        <f>'t1'!K18</f>
        <v>11</v>
      </c>
      <c r="D19" s="292">
        <f>'t7'!W18</f>
        <v>11</v>
      </c>
      <c r="E19" s="293">
        <f>'t8'!AA18</f>
        <v>11</v>
      </c>
      <c r="F19" s="293">
        <f>'t9'!O18</f>
        <v>11</v>
      </c>
      <c r="G19" s="86" t="str">
        <f t="shared" si="0"/>
        <v>OK</v>
      </c>
      <c r="H19" s="293">
        <f>'t1'!L18</f>
        <v>0</v>
      </c>
      <c r="I19" s="293">
        <f>'t7'!X18</f>
        <v>0</v>
      </c>
      <c r="J19" s="293">
        <f>'t8'!AB18</f>
        <v>0</v>
      </c>
      <c r="K19" s="292">
        <f>'t9'!P18</f>
        <v>0</v>
      </c>
      <c r="L19" s="86" t="str">
        <f t="shared" si="1"/>
        <v>OK</v>
      </c>
    </row>
    <row r="20" spans="1:12" ht="14.1" customHeight="1" x14ac:dyDescent="0.2">
      <c r="A20" s="112" t="str">
        <f>'t1'!A19</f>
        <v>POSIZIONE ECONOMICA C2  COLLAB. TECNICO ANTINCENDI  VVFF</v>
      </c>
      <c r="B20" s="158" t="str">
        <f>'t1'!B19</f>
        <v>042CA0</v>
      </c>
      <c r="C20" s="292">
        <f>'t1'!K19</f>
        <v>8</v>
      </c>
      <c r="D20" s="292">
        <f>'t7'!W19</f>
        <v>8</v>
      </c>
      <c r="E20" s="293">
        <f>'t8'!AA19</f>
        <v>8</v>
      </c>
      <c r="F20" s="293">
        <f>'t9'!O19</f>
        <v>8</v>
      </c>
      <c r="G20" s="86" t="str">
        <f t="shared" si="0"/>
        <v>OK</v>
      </c>
      <c r="H20" s="293">
        <f>'t1'!L19</f>
        <v>0</v>
      </c>
      <c r="I20" s="293">
        <f>'t7'!X19</f>
        <v>0</v>
      </c>
      <c r="J20" s="293">
        <f>'t8'!AB19</f>
        <v>0</v>
      </c>
      <c r="K20" s="292">
        <f>'t9'!P19</f>
        <v>0</v>
      </c>
      <c r="L20" s="86" t="str">
        <f t="shared" si="1"/>
        <v>OK</v>
      </c>
    </row>
    <row r="21" spans="1:12" ht="14.1" customHeight="1" x14ac:dyDescent="0.2">
      <c r="A21" s="112" t="str">
        <f>'t1'!A20</f>
        <v>POSIZIONE ECONOMICA C1  CAPO SQUADRA  VVFF</v>
      </c>
      <c r="B21" s="158" t="str">
        <f>'t1'!B20</f>
        <v>040CS1</v>
      </c>
      <c r="C21" s="292">
        <f>'t1'!K20</f>
        <v>31</v>
      </c>
      <c r="D21" s="292">
        <f>'t7'!W20</f>
        <v>31</v>
      </c>
      <c r="E21" s="293">
        <f>'t8'!AA20</f>
        <v>31</v>
      </c>
      <c r="F21" s="293">
        <f>'t9'!O20</f>
        <v>31</v>
      </c>
      <c r="G21" s="86" t="str">
        <f t="shared" si="0"/>
        <v>OK</v>
      </c>
      <c r="H21" s="293">
        <f>'t1'!L20</f>
        <v>0</v>
      </c>
      <c r="I21" s="293">
        <f>'t7'!X20</f>
        <v>0</v>
      </c>
      <c r="J21" s="293">
        <f>'t8'!AB20</f>
        <v>0</v>
      </c>
      <c r="K21" s="292">
        <f>'t9'!P20</f>
        <v>0</v>
      </c>
      <c r="L21" s="86" t="str">
        <f t="shared" si="1"/>
        <v>OK</v>
      </c>
    </row>
    <row r="22" spans="1:12" ht="14.1" customHeight="1" x14ac:dyDescent="0.2">
      <c r="A22" s="112" t="str">
        <f>'t1'!A21</f>
        <v>POSIZIONE ECONOMICA B3</v>
      </c>
      <c r="B22" s="158" t="str">
        <f>'t1'!B21</f>
        <v>034000</v>
      </c>
      <c r="C22" s="292">
        <f>'t1'!K21</f>
        <v>10</v>
      </c>
      <c r="D22" s="292">
        <f>'t7'!W21</f>
        <v>10</v>
      </c>
      <c r="E22" s="293">
        <f>'t8'!AA21</f>
        <v>10</v>
      </c>
      <c r="F22" s="293">
        <f>'t9'!O21</f>
        <v>10</v>
      </c>
      <c r="G22" s="86" t="str">
        <f t="shared" si="0"/>
        <v>OK</v>
      </c>
      <c r="H22" s="293">
        <f>'t1'!L21</f>
        <v>3</v>
      </c>
      <c r="I22" s="293">
        <f>'t7'!X21</f>
        <v>3</v>
      </c>
      <c r="J22" s="293">
        <f>'t8'!AB21</f>
        <v>3</v>
      </c>
      <c r="K22" s="292">
        <f>'t9'!P21</f>
        <v>3</v>
      </c>
      <c r="L22" s="86" t="str">
        <f t="shared" si="1"/>
        <v>OK</v>
      </c>
    </row>
    <row r="23" spans="1:12" ht="14.1" customHeight="1" x14ac:dyDescent="0.2">
      <c r="A23" s="112" t="str">
        <f>'t1'!A22</f>
        <v>POSIZIONE ECONOMICA B2S</v>
      </c>
      <c r="B23" s="158" t="str">
        <f>'t1'!B22</f>
        <v>033000</v>
      </c>
      <c r="C23" s="292">
        <f>'t1'!K22</f>
        <v>0</v>
      </c>
      <c r="D23" s="292">
        <f>'t7'!W22</f>
        <v>0</v>
      </c>
      <c r="E23" s="293">
        <f>'t8'!AA22</f>
        <v>0</v>
      </c>
      <c r="F23" s="293">
        <f>'t9'!O22</f>
        <v>0</v>
      </c>
      <c r="G23" s="86" t="str">
        <f t="shared" si="0"/>
        <v>OK</v>
      </c>
      <c r="H23" s="293">
        <f>'t1'!L22</f>
        <v>5</v>
      </c>
      <c r="I23" s="293">
        <f>'t7'!X22</f>
        <v>5</v>
      </c>
      <c r="J23" s="293">
        <f>'t8'!AB22</f>
        <v>5</v>
      </c>
      <c r="K23" s="292">
        <f>'t9'!P22</f>
        <v>5</v>
      </c>
      <c r="L23" s="86" t="str">
        <f t="shared" si="1"/>
        <v>OK</v>
      </c>
    </row>
    <row r="24" spans="1:12" ht="14.1" customHeight="1" x14ac:dyDescent="0.2">
      <c r="A24" s="112" t="str">
        <f>'t1'!A23</f>
        <v>POSIZIONE ECONOMICA B2</v>
      </c>
      <c r="B24" s="158" t="str">
        <f>'t1'!B23</f>
        <v>032000</v>
      </c>
      <c r="C24" s="292">
        <f>'t1'!K23</f>
        <v>174</v>
      </c>
      <c r="D24" s="292">
        <f>'t7'!W23</f>
        <v>174</v>
      </c>
      <c r="E24" s="293">
        <f>'t8'!AA23</f>
        <v>174</v>
      </c>
      <c r="F24" s="293">
        <f>'t9'!O23</f>
        <v>174</v>
      </c>
      <c r="G24" s="86" t="str">
        <f t="shared" si="0"/>
        <v>OK</v>
      </c>
      <c r="H24" s="293">
        <f>'t1'!L23</f>
        <v>342</v>
      </c>
      <c r="I24" s="293">
        <f>'t7'!X23</f>
        <v>342</v>
      </c>
      <c r="J24" s="293">
        <f>'t8'!AB23</f>
        <v>342</v>
      </c>
      <c r="K24" s="292">
        <f>'t9'!P23</f>
        <v>342</v>
      </c>
      <c r="L24" s="86" t="str">
        <f t="shared" si="1"/>
        <v>OK</v>
      </c>
    </row>
    <row r="25" spans="1:12" ht="14.1" customHeight="1" x14ac:dyDescent="0.2">
      <c r="A25" s="112" t="str">
        <f>'t1'!A24</f>
        <v>POSIZIONE ECONOMICA B1</v>
      </c>
      <c r="B25" s="158" t="str">
        <f>'t1'!B24</f>
        <v>030000</v>
      </c>
      <c r="C25" s="292">
        <f>'t1'!K24</f>
        <v>21</v>
      </c>
      <c r="D25" s="292">
        <f>'t7'!W24</f>
        <v>21</v>
      </c>
      <c r="E25" s="293">
        <f>'t8'!AA24</f>
        <v>21</v>
      </c>
      <c r="F25" s="293">
        <f>'t9'!O24</f>
        <v>21</v>
      </c>
      <c r="G25" s="86" t="str">
        <f t="shared" si="0"/>
        <v>OK</v>
      </c>
      <c r="H25" s="293">
        <f>'t1'!L24</f>
        <v>2</v>
      </c>
      <c r="I25" s="293">
        <f>'t7'!X24</f>
        <v>2</v>
      </c>
      <c r="J25" s="293">
        <f>'t8'!AB24</f>
        <v>2</v>
      </c>
      <c r="K25" s="292">
        <f>'t9'!P24</f>
        <v>2</v>
      </c>
      <c r="L25" s="86" t="str">
        <f t="shared" si="1"/>
        <v>OK</v>
      </c>
    </row>
    <row r="26" spans="1:12" ht="14.1" customHeight="1" x14ac:dyDescent="0.2">
      <c r="A26" s="112" t="str">
        <f>'t1'!A25</f>
        <v>POS. EC. B3-GUARDIA  FORESTALE 5 A.</v>
      </c>
      <c r="B26" s="158" t="str">
        <f>'t1'!B25</f>
        <v>034561</v>
      </c>
      <c r="C26" s="292">
        <f>'t1'!K25</f>
        <v>29</v>
      </c>
      <c r="D26" s="292">
        <f>'t7'!W25</f>
        <v>29</v>
      </c>
      <c r="E26" s="293">
        <f>'t8'!AA25</f>
        <v>29</v>
      </c>
      <c r="F26" s="293">
        <f>'t9'!O25</f>
        <v>29</v>
      </c>
      <c r="G26" s="86" t="str">
        <f t="shared" si="0"/>
        <v>OK</v>
      </c>
      <c r="H26" s="293">
        <f>'t1'!L25</f>
        <v>12</v>
      </c>
      <c r="I26" s="293">
        <f>'t7'!X25</f>
        <v>12</v>
      </c>
      <c r="J26" s="293">
        <f>'t8'!AB25</f>
        <v>12</v>
      </c>
      <c r="K26" s="292">
        <f>'t9'!P25</f>
        <v>12</v>
      </c>
      <c r="L26" s="86" t="str">
        <f t="shared" si="1"/>
        <v>OK</v>
      </c>
    </row>
    <row r="27" spans="1:12" ht="14.1" customHeight="1" x14ac:dyDescent="0.2">
      <c r="A27" s="112" t="str">
        <f>'t1'!A26</f>
        <v>POS. EC. B2-GUARDIA  FORESTALE</v>
      </c>
      <c r="B27" s="158" t="str">
        <f>'t1'!B26</f>
        <v>032561</v>
      </c>
      <c r="C27" s="292">
        <f>'t1'!K26</f>
        <v>14</v>
      </c>
      <c r="D27" s="292">
        <f>'t7'!W26</f>
        <v>14</v>
      </c>
      <c r="E27" s="293">
        <f>'t8'!AA26</f>
        <v>14</v>
      </c>
      <c r="F27" s="293">
        <f>'t9'!O26</f>
        <v>14</v>
      </c>
      <c r="G27" s="86" t="str">
        <f t="shared" ref="G27:G34" si="2">IF(COUNTIF(C27:F27,C27)=4,"OK","ERRORE")</f>
        <v>OK</v>
      </c>
      <c r="H27" s="293">
        <f>'t1'!L26</f>
        <v>10</v>
      </c>
      <c r="I27" s="293">
        <f>'t7'!X26</f>
        <v>10</v>
      </c>
      <c r="J27" s="293">
        <f>'t8'!AB26</f>
        <v>10</v>
      </c>
      <c r="K27" s="292">
        <f>'t9'!P26</f>
        <v>10</v>
      </c>
      <c r="L27" s="86" t="str">
        <f t="shared" ref="L27:L34" si="3">IF(COUNTIF(H27:K27,H27)=4,"OK","ERRORE")</f>
        <v>OK</v>
      </c>
    </row>
    <row r="28" spans="1:12" ht="14.1" customHeight="1" x14ac:dyDescent="0.2">
      <c r="A28" s="112" t="str">
        <f>'t1'!A27</f>
        <v>POSIZIONE ECONOMICA B1 - FORESTALE</v>
      </c>
      <c r="B28" s="158" t="str">
        <f>'t1'!B27</f>
        <v>030FOR</v>
      </c>
      <c r="C28" s="292">
        <f>'t1'!K27</f>
        <v>0</v>
      </c>
      <c r="D28" s="292">
        <f>'t7'!W27</f>
        <v>0</v>
      </c>
      <c r="E28" s="293">
        <f>'t8'!AA27</f>
        <v>0</v>
      </c>
      <c r="F28" s="293">
        <f>'t9'!O27</f>
        <v>0</v>
      </c>
      <c r="G28" s="86" t="str">
        <f t="shared" si="2"/>
        <v>OK</v>
      </c>
      <c r="H28" s="293">
        <f>'t1'!L27</f>
        <v>0</v>
      </c>
      <c r="I28" s="293">
        <f>'t7'!X27</f>
        <v>0</v>
      </c>
      <c r="J28" s="293">
        <f>'t8'!AB27</f>
        <v>0</v>
      </c>
      <c r="K28" s="292">
        <f>'t9'!P27</f>
        <v>0</v>
      </c>
      <c r="L28" s="86" t="str">
        <f t="shared" si="3"/>
        <v>OK</v>
      </c>
    </row>
    <row r="29" spans="1:12" ht="14.1" customHeight="1" x14ac:dyDescent="0.2">
      <c r="A29" s="112" t="str">
        <f>'t1'!A28</f>
        <v>POSIZIONE ECONOMICA B3  VIGILE DEL FUOCO &gt; 5 ANNI</v>
      </c>
      <c r="B29" s="158" t="str">
        <f>'t1'!B28</f>
        <v>034VF5</v>
      </c>
      <c r="C29" s="292">
        <f>'t1'!K28</f>
        <v>99</v>
      </c>
      <c r="D29" s="292">
        <f>'t7'!W28</f>
        <v>99</v>
      </c>
      <c r="E29" s="293">
        <f>'t8'!AA28</f>
        <v>99</v>
      </c>
      <c r="F29" s="293">
        <f>'t9'!O28</f>
        <v>99</v>
      </c>
      <c r="G29" s="86" t="str">
        <f t="shared" si="2"/>
        <v>OK</v>
      </c>
      <c r="H29" s="293">
        <f>'t1'!L28</f>
        <v>0</v>
      </c>
      <c r="I29" s="293">
        <f>'t7'!X28</f>
        <v>0</v>
      </c>
      <c r="J29" s="293">
        <f>'t8'!AB28</f>
        <v>0</v>
      </c>
      <c r="K29" s="292">
        <f>'t9'!P28</f>
        <v>0</v>
      </c>
      <c r="L29" s="86" t="str">
        <f t="shared" si="3"/>
        <v>OK</v>
      </c>
    </row>
    <row r="30" spans="1:12" ht="14.1" customHeight="1" x14ac:dyDescent="0.2">
      <c r="A30" s="112" t="str">
        <f>'t1'!A29</f>
        <v>POSIZIONE ECONOMICA B2  VIGILE DEL FUOCO</v>
      </c>
      <c r="B30" s="158" t="str">
        <f>'t1'!B29</f>
        <v>032VF1</v>
      </c>
      <c r="C30" s="292">
        <f>'t1'!K29</f>
        <v>19</v>
      </c>
      <c r="D30" s="292">
        <f>'t7'!W29</f>
        <v>19</v>
      </c>
      <c r="E30" s="293">
        <f>'t8'!AA29</f>
        <v>19</v>
      </c>
      <c r="F30" s="293">
        <f>'t9'!O29</f>
        <v>19</v>
      </c>
      <c r="G30" s="86" t="str">
        <f t="shared" si="2"/>
        <v>OK</v>
      </c>
      <c r="H30" s="293">
        <f>'t1'!L29</f>
        <v>0</v>
      </c>
      <c r="I30" s="293">
        <f>'t7'!X29</f>
        <v>0</v>
      </c>
      <c r="J30" s="293">
        <f>'t8'!AB29</f>
        <v>0</v>
      </c>
      <c r="K30" s="292">
        <f>'t9'!P29</f>
        <v>0</v>
      </c>
      <c r="L30" s="86" t="str">
        <f t="shared" si="3"/>
        <v>OK</v>
      </c>
    </row>
    <row r="31" spans="1:12" ht="14.1" customHeight="1" x14ac:dyDescent="0.2">
      <c r="A31" s="112" t="str">
        <f>'t1'!A30</f>
        <v>POSIZIONE ECONOMICA A</v>
      </c>
      <c r="B31" s="158" t="str">
        <f>'t1'!B30</f>
        <v>022000</v>
      </c>
      <c r="C31" s="292">
        <f>'t1'!K30</f>
        <v>40</v>
      </c>
      <c r="D31" s="292">
        <f>'t7'!W30</f>
        <v>40</v>
      </c>
      <c r="E31" s="293">
        <f>'t8'!AA30</f>
        <v>40</v>
      </c>
      <c r="F31" s="293">
        <f>'t9'!O30</f>
        <v>40</v>
      </c>
      <c r="G31" s="86" t="str">
        <f t="shared" si="2"/>
        <v>OK</v>
      </c>
      <c r="H31" s="293">
        <f>'t1'!L30</f>
        <v>180</v>
      </c>
      <c r="I31" s="293">
        <f>'t7'!X30</f>
        <v>180</v>
      </c>
      <c r="J31" s="293">
        <f>'t8'!AB30</f>
        <v>180</v>
      </c>
      <c r="K31" s="292">
        <f>'t9'!P30</f>
        <v>180</v>
      </c>
      <c r="L31" s="86" t="str">
        <f t="shared" si="3"/>
        <v>OK</v>
      </c>
    </row>
    <row r="32" spans="1:12" ht="14.1" customHeight="1" x14ac:dyDescent="0.2">
      <c r="A32" s="112" t="str">
        <f>'t1'!A31</f>
        <v>CONTRATTISTI</v>
      </c>
      <c r="B32" s="158" t="str">
        <f>'t1'!B31</f>
        <v>000061</v>
      </c>
      <c r="C32" s="292">
        <f>'t1'!K31</f>
        <v>97</v>
      </c>
      <c r="D32" s="292">
        <f>'t7'!W31</f>
        <v>97</v>
      </c>
      <c r="E32" s="293">
        <f>'t8'!AA31</f>
        <v>97</v>
      </c>
      <c r="F32" s="293">
        <f>'t9'!O31</f>
        <v>97</v>
      </c>
      <c r="G32" s="86" t="str">
        <f t="shared" si="2"/>
        <v>OK</v>
      </c>
      <c r="H32" s="293">
        <f>'t1'!L31</f>
        <v>31</v>
      </c>
      <c r="I32" s="293">
        <f>'t7'!X31</f>
        <v>31</v>
      </c>
      <c r="J32" s="293">
        <f>'t8'!AB31</f>
        <v>31</v>
      </c>
      <c r="K32" s="292">
        <f>'t9'!P31</f>
        <v>31</v>
      </c>
      <c r="L32" s="86" t="str">
        <f t="shared" si="3"/>
        <v>OK</v>
      </c>
    </row>
    <row r="33" spans="1:12" ht="14.1" customHeight="1" x14ac:dyDescent="0.2">
      <c r="A33" s="112" t="str">
        <f>'t1'!A32</f>
        <v>SEGRETARIO GENERALE CCIAA</v>
      </c>
      <c r="B33" s="158" t="str">
        <f>'t1'!B32</f>
        <v>0D0104</v>
      </c>
      <c r="C33" s="292">
        <f>'t1'!K32</f>
        <v>0</v>
      </c>
      <c r="D33" s="292">
        <f>'t7'!W32</f>
        <v>0</v>
      </c>
      <c r="E33" s="293">
        <f>'t8'!AA32</f>
        <v>0</v>
      </c>
      <c r="F33" s="293">
        <f>'t9'!O32</f>
        <v>0</v>
      </c>
      <c r="G33" s="86" t="str">
        <f t="shared" si="2"/>
        <v>OK</v>
      </c>
      <c r="H33" s="293">
        <f>'t1'!L32</f>
        <v>0</v>
      </c>
      <c r="I33" s="293">
        <f>'t7'!X32</f>
        <v>0</v>
      </c>
      <c r="J33" s="293">
        <f>'t8'!AB32</f>
        <v>0</v>
      </c>
      <c r="K33" s="292">
        <f>'t9'!P32</f>
        <v>0</v>
      </c>
      <c r="L33" s="86" t="str">
        <f t="shared" si="3"/>
        <v>OK</v>
      </c>
    </row>
    <row r="34" spans="1:12" ht="14.1" customHeight="1" x14ac:dyDescent="0.2">
      <c r="A34" s="112" t="str">
        <f>'t1'!A33</f>
        <v>COLLABORATORE A TEMPO DETERMINATO</v>
      </c>
      <c r="B34" s="158" t="str">
        <f>'t1'!B33</f>
        <v>000096</v>
      </c>
      <c r="C34" s="292">
        <f>'t1'!K33</f>
        <v>5</v>
      </c>
      <c r="D34" s="292">
        <f>'t7'!W33</f>
        <v>5</v>
      </c>
      <c r="E34" s="293">
        <f>'t8'!AA33</f>
        <v>5</v>
      </c>
      <c r="F34" s="293">
        <f>'t9'!O33</f>
        <v>5</v>
      </c>
      <c r="G34" s="86" t="str">
        <f t="shared" si="2"/>
        <v>OK</v>
      </c>
      <c r="H34" s="293">
        <f>'t1'!L33</f>
        <v>6</v>
      </c>
      <c r="I34" s="293">
        <f>'t7'!X33</f>
        <v>6</v>
      </c>
      <c r="J34" s="293">
        <f>'t8'!AB33</f>
        <v>6</v>
      </c>
      <c r="K34" s="292">
        <f>'t9'!P33</f>
        <v>6</v>
      </c>
      <c r="L34" s="86" t="str">
        <f t="shared" si="3"/>
        <v>OK</v>
      </c>
    </row>
    <row r="35" spans="1:12" ht="15.75" customHeight="1" x14ac:dyDescent="0.2">
      <c r="A35" s="112" t="str">
        <f>'t1'!A34</f>
        <v>TOTALE</v>
      </c>
      <c r="B35" s="149"/>
      <c r="C35" s="293">
        <f>SUM(C7:C34)</f>
        <v>1104</v>
      </c>
      <c r="D35" s="293">
        <f>SUM(D7:D34)</f>
        <v>1104</v>
      </c>
      <c r="E35" s="293">
        <f>SUM(E7:E34)</f>
        <v>1104</v>
      </c>
      <c r="F35" s="293">
        <f>SUM(F7:F34)</f>
        <v>1104</v>
      </c>
      <c r="G35" s="86" t="str">
        <f t="shared" si="0"/>
        <v>OK</v>
      </c>
      <c r="H35" s="293">
        <f>SUM(H7:H34)</f>
        <v>1459</v>
      </c>
      <c r="I35" s="293">
        <f>SUM(I7:I34)</f>
        <v>1459</v>
      </c>
      <c r="J35" s="293">
        <f>SUM(J7:J34)</f>
        <v>1459</v>
      </c>
      <c r="K35" s="293">
        <f>SUM(K7:K34)</f>
        <v>1459</v>
      </c>
      <c r="L35" s="86" t="str">
        <f t="shared" si="1"/>
        <v>OK</v>
      </c>
    </row>
  </sheetData>
  <sheetProtection password="DD41" sheet="1" formatColumns="0" selectLockedCells="1" selectUnlockedCells="1"/>
  <mergeCells count="4">
    <mergeCell ref="C4:G4"/>
    <mergeCell ref="H4:L4"/>
    <mergeCell ref="E2:L2"/>
    <mergeCell ref="A1:J1"/>
  </mergeCells>
  <phoneticPr fontId="30" type="noConversion"/>
  <printOptions horizontalCentered="1" verticalCentered="1"/>
  <pageMargins left="0" right="0" top="0.17" bottom="0.16" header="0.19" footer="0.17"/>
  <pageSetup paperSize="9" scale="71" orientation="landscape" horizontalDpi="300" verticalDpi="4294967292"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4">
    <tabColor indexed="10"/>
    <pageSetUpPr fitToPage="1"/>
  </sheetPr>
  <dimension ref="A1:Z36"/>
  <sheetViews>
    <sheetView showGridLines="0" workbookViewId="0">
      <pane xSplit="2" ySplit="7" topLeftCell="G11" activePane="bottomRight" state="frozen"/>
      <selection activeCell="A2" sqref="A2"/>
      <selection pane="topRight" activeCell="A2" sqref="A2"/>
      <selection pane="bottomLeft" activeCell="A2" sqref="A2"/>
      <selection pane="bottomRight" activeCell="B7" sqref="B7"/>
    </sheetView>
  </sheetViews>
  <sheetFormatPr defaultColWidth="9.33203125" defaultRowHeight="11.25" x14ac:dyDescent="0.2"/>
  <cols>
    <col min="1" max="1" width="37.33203125" style="3" customWidth="1"/>
    <col min="2" max="2" width="11" style="2" customWidth="1"/>
    <col min="3" max="3" width="10.6640625" style="2" customWidth="1"/>
    <col min="4" max="5" width="12.6640625" style="2" customWidth="1"/>
    <col min="6" max="6" width="13.6640625" style="2" customWidth="1"/>
    <col min="7" max="10" width="12.6640625" style="2" customWidth="1"/>
    <col min="11" max="13" width="13.33203125" style="2" customWidth="1"/>
    <col min="14" max="14" width="12.6640625" style="2" bestFit="1" customWidth="1"/>
    <col min="15" max="15" width="10.6640625" style="2" customWidth="1"/>
    <col min="16" max="22" width="12.6640625" style="2" customWidth="1"/>
    <col min="23" max="25" width="13.33203125" style="2" customWidth="1"/>
    <col min="26" max="26" width="12.6640625" style="2" bestFit="1" customWidth="1"/>
    <col min="27" max="16384" width="9.33203125" style="3"/>
  </cols>
  <sheetData>
    <row r="1" spans="1:26" ht="30" customHeight="1" x14ac:dyDescent="0.2">
      <c r="A1" s="1486" t="str">
        <f>'t1'!A1</f>
        <v>REGIONE VALLE D'AOSTA - anno 2024</v>
      </c>
      <c r="B1" s="1486"/>
      <c r="C1" s="1486"/>
      <c r="D1" s="1486"/>
      <c r="E1" s="1486"/>
      <c r="F1" s="1486"/>
      <c r="G1" s="1486"/>
      <c r="H1" s="1486"/>
      <c r="I1" s="1486"/>
      <c r="J1" s="1486"/>
      <c r="K1" s="1486"/>
      <c r="L1" s="1486"/>
      <c r="M1" s="1486"/>
      <c r="N1" s="1486"/>
      <c r="O1" s="1486"/>
      <c r="P1" s="1486"/>
      <c r="Q1" s="1486"/>
      <c r="R1" s="1486"/>
      <c r="S1" s="1486"/>
      <c r="T1" s="1486"/>
      <c r="U1" s="1486"/>
      <c r="V1" s="1486"/>
      <c r="W1" s="1486"/>
      <c r="X1" s="3"/>
      <c r="Y1" s="3"/>
      <c r="Z1" s="605"/>
    </row>
    <row r="2" spans="1:26" ht="36" customHeight="1" x14ac:dyDescent="0.25">
      <c r="A2" s="1580" t="s">
        <v>617</v>
      </c>
      <c r="B2" s="1580"/>
      <c r="C2" s="1580"/>
      <c r="D2" s="1580"/>
      <c r="E2" s="1580"/>
      <c r="F2" s="1580"/>
      <c r="G2" s="1580"/>
      <c r="H2" s="1580"/>
      <c r="I2" s="1580"/>
      <c r="J2" s="1580"/>
      <c r="K2" s="1580"/>
      <c r="L2" s="1580"/>
      <c r="M2" s="688"/>
      <c r="N2" s="411"/>
      <c r="O2" s="411"/>
      <c r="P2" s="411"/>
      <c r="Q2" s="411"/>
      <c r="R2" s="411"/>
      <c r="S2" s="411"/>
      <c r="T2" s="411"/>
      <c r="U2" s="411"/>
      <c r="V2" s="411"/>
      <c r="W2" s="411"/>
      <c r="X2" s="411"/>
      <c r="Y2" s="688"/>
      <c r="Z2" s="411"/>
    </row>
    <row r="3" spans="1:26" ht="18.75" customHeight="1" x14ac:dyDescent="0.25">
      <c r="A3" s="168" t="str">
        <f>"Tavola di coerenza tra presenti al 31.12."&amp;'t1'!L1&amp;" rilevati in Tabella 1 con il personale rilevato in Tabella 3 e con i presenti rilevati in Tabella 10 (Squadratura 3)(*)"</f>
        <v>Tavola di coerenza tra presenti al 31.12.2024 rilevati in Tabella 1 con il personale rilevato in Tabella 3 e con i presenti rilevati in Tabella 10 (Squadratura 3)(*)</v>
      </c>
      <c r="C3" s="3"/>
      <c r="D3" s="3"/>
      <c r="E3" s="3"/>
      <c r="F3" s="3"/>
      <c r="G3" s="3"/>
      <c r="H3" s="3"/>
      <c r="I3" s="3"/>
      <c r="J3" s="3"/>
      <c r="K3" s="3"/>
      <c r="L3" s="3"/>
      <c r="M3" s="3"/>
      <c r="N3" s="3"/>
      <c r="O3" s="3"/>
      <c r="P3" s="3"/>
      <c r="Q3" s="3"/>
      <c r="R3" s="3"/>
      <c r="S3" s="3"/>
      <c r="T3" s="3"/>
      <c r="U3" s="3"/>
      <c r="V3" s="3"/>
      <c r="W3" s="3"/>
      <c r="X3" s="3"/>
      <c r="Y3" s="3"/>
      <c r="Z3" s="3"/>
    </row>
    <row r="4" spans="1:26" ht="12" x14ac:dyDescent="0.2">
      <c r="A4" s="275" t="s">
        <v>222</v>
      </c>
      <c r="C4" s="3"/>
      <c r="D4" s="3"/>
      <c r="E4" s="3"/>
      <c r="F4" s="3"/>
      <c r="G4" s="3"/>
      <c r="H4" s="3"/>
      <c r="I4" s="3"/>
      <c r="J4" s="3"/>
      <c r="K4" s="3"/>
      <c r="L4" s="3"/>
      <c r="M4" s="3"/>
      <c r="N4" s="3"/>
      <c r="O4" s="3"/>
      <c r="P4" s="3"/>
      <c r="Q4" s="3"/>
      <c r="R4" s="3"/>
      <c r="S4" s="3"/>
      <c r="T4" s="3"/>
      <c r="U4" s="3"/>
      <c r="V4" s="3"/>
      <c r="W4" s="3"/>
      <c r="X4" s="3"/>
      <c r="Y4" s="3"/>
      <c r="Z4" s="3"/>
    </row>
    <row r="5" spans="1:26" ht="12.75" x14ac:dyDescent="0.2">
      <c r="A5" s="152"/>
      <c r="B5" s="86"/>
      <c r="C5" s="1577" t="s">
        <v>252</v>
      </c>
      <c r="D5" s="1578"/>
      <c r="E5" s="1578"/>
      <c r="F5" s="1578"/>
      <c r="G5" s="1578"/>
      <c r="H5" s="1578"/>
      <c r="I5" s="1578"/>
      <c r="J5" s="1578"/>
      <c r="K5" s="1578"/>
      <c r="L5" s="1578"/>
      <c r="M5" s="1578"/>
      <c r="N5" s="1578"/>
      <c r="O5" s="1577" t="s">
        <v>253</v>
      </c>
      <c r="P5" s="1578"/>
      <c r="Q5" s="1578"/>
      <c r="R5" s="1578"/>
      <c r="S5" s="1578"/>
      <c r="T5" s="1578"/>
      <c r="U5" s="1578"/>
      <c r="V5" s="1578"/>
      <c r="W5" s="1578"/>
      <c r="X5" s="1578"/>
      <c r="Y5" s="1578"/>
      <c r="Z5" s="1579"/>
    </row>
    <row r="6" spans="1:26" s="167" customFormat="1" ht="64.5" customHeight="1" x14ac:dyDescent="0.15">
      <c r="A6" s="155" t="s">
        <v>192</v>
      </c>
      <c r="B6" s="155" t="s">
        <v>191</v>
      </c>
      <c r="C6" s="155" t="str">
        <f>"Presenti 31.12."&amp;'t1'!L1&amp;" (Tab 1)"</f>
        <v>Presenti 31.12.2024 (Tab 1)</v>
      </c>
      <c r="D6" s="155" t="s">
        <v>205</v>
      </c>
      <c r="E6" s="155" t="s">
        <v>204</v>
      </c>
      <c r="F6" s="155" t="s">
        <v>354</v>
      </c>
      <c r="G6" s="155" t="s">
        <v>221</v>
      </c>
      <c r="H6" s="155" t="s">
        <v>206</v>
      </c>
      <c r="I6" s="155" t="s">
        <v>355</v>
      </c>
      <c r="J6" s="501" t="s">
        <v>746</v>
      </c>
      <c r="K6" s="155" t="s">
        <v>223</v>
      </c>
      <c r="L6" s="155" t="s">
        <v>224</v>
      </c>
      <c r="M6" s="501" t="s">
        <v>612</v>
      </c>
      <c r="N6" s="501" t="s">
        <v>613</v>
      </c>
      <c r="O6" s="155" t="str">
        <f>"Presenti 31.12."&amp;'t1'!L1&amp;" (Tab 1)"</f>
        <v>Presenti 31.12.2024 (Tab 1)</v>
      </c>
      <c r="P6" s="155" t="s">
        <v>205</v>
      </c>
      <c r="Q6" s="155" t="s">
        <v>204</v>
      </c>
      <c r="R6" s="155" t="s">
        <v>354</v>
      </c>
      <c r="S6" s="155" t="s">
        <v>221</v>
      </c>
      <c r="T6" s="155" t="s">
        <v>206</v>
      </c>
      <c r="U6" s="155" t="s">
        <v>355</v>
      </c>
      <c r="V6" s="501" t="s">
        <v>746</v>
      </c>
      <c r="W6" s="155" t="s">
        <v>223</v>
      </c>
      <c r="X6" s="155" t="s">
        <v>224</v>
      </c>
      <c r="Y6" s="501" t="s">
        <v>612</v>
      </c>
      <c r="Z6" s="501" t="s">
        <v>613</v>
      </c>
    </row>
    <row r="7" spans="1:26" s="165" customFormat="1" ht="21.75" x14ac:dyDescent="0.2">
      <c r="A7" s="164"/>
      <c r="B7" s="164"/>
      <c r="C7" s="161" t="s">
        <v>193</v>
      </c>
      <c r="D7" s="161" t="s">
        <v>194</v>
      </c>
      <c r="E7" s="161" t="s">
        <v>195</v>
      </c>
      <c r="F7" s="161" t="s">
        <v>196</v>
      </c>
      <c r="G7" s="162" t="s">
        <v>197</v>
      </c>
      <c r="H7" s="162" t="s">
        <v>217</v>
      </c>
      <c r="I7" s="162" t="s">
        <v>199</v>
      </c>
      <c r="J7" s="162" t="s">
        <v>208</v>
      </c>
      <c r="K7" s="162" t="s">
        <v>5</v>
      </c>
      <c r="L7" s="162" t="s">
        <v>6</v>
      </c>
      <c r="M7" s="162" t="s">
        <v>614</v>
      </c>
      <c r="N7" s="162" t="s">
        <v>7</v>
      </c>
      <c r="O7" s="161" t="s">
        <v>209</v>
      </c>
      <c r="P7" s="161" t="s">
        <v>210</v>
      </c>
      <c r="Q7" s="161" t="s">
        <v>211</v>
      </c>
      <c r="R7" s="161" t="s">
        <v>356</v>
      </c>
      <c r="S7" s="162" t="s">
        <v>212</v>
      </c>
      <c r="T7" s="162" t="s">
        <v>357</v>
      </c>
      <c r="U7" s="162" t="s">
        <v>358</v>
      </c>
      <c r="V7" s="162" t="s">
        <v>359</v>
      </c>
      <c r="W7" s="162" t="s">
        <v>8</v>
      </c>
      <c r="X7" s="162" t="s">
        <v>9</v>
      </c>
      <c r="Y7" s="162" t="s">
        <v>615</v>
      </c>
      <c r="Z7" s="162" t="s">
        <v>10</v>
      </c>
    </row>
    <row r="8" spans="1:26" ht="14.1" customHeight="1" x14ac:dyDescent="0.2">
      <c r="A8" s="112" t="str">
        <f>'t1'!A6</f>
        <v>SEGRETARIO I FASCIA</v>
      </c>
      <c r="B8" s="158" t="str">
        <f>'t1'!B6</f>
        <v>0D0102</v>
      </c>
      <c r="C8" s="292">
        <f>'t1'!K6</f>
        <v>0</v>
      </c>
      <c r="D8" s="292">
        <f>'t3'!K6</f>
        <v>0</v>
      </c>
      <c r="E8" s="293">
        <f>'t3'!M6</f>
        <v>0</v>
      </c>
      <c r="F8" s="293">
        <f>'t3'!O6</f>
        <v>0</v>
      </c>
      <c r="G8" s="293">
        <f>'t3'!C6</f>
        <v>0</v>
      </c>
      <c r="H8" s="293">
        <f>'t3'!E6</f>
        <v>0</v>
      </c>
      <c r="I8" s="293">
        <f>'t3'!G6</f>
        <v>0</v>
      </c>
      <c r="J8" s="293">
        <f>'t3'!I6</f>
        <v>0</v>
      </c>
      <c r="K8" s="293">
        <f>C8+D8+E8+F8-G8-H8-I8-J8</f>
        <v>0</v>
      </c>
      <c r="L8" s="293">
        <f>'t10'!AU6</f>
        <v>0</v>
      </c>
      <c r="M8" s="598" t="str">
        <f>IF(C8&lt;(G8+H8+I8+J8),"ERRORE","OK")</f>
        <v>OK</v>
      </c>
      <c r="N8" s="86" t="str">
        <f>IF(K8=L8,"OK","ERRORE")</f>
        <v>OK</v>
      </c>
      <c r="O8" s="292">
        <f>'t1'!L6</f>
        <v>0</v>
      </c>
      <c r="P8" s="292">
        <f>'t3'!L6</f>
        <v>0</v>
      </c>
      <c r="Q8" s="293">
        <f>'t3'!N6</f>
        <v>0</v>
      </c>
      <c r="R8" s="293">
        <f>'t3'!P6</f>
        <v>0</v>
      </c>
      <c r="S8" s="293">
        <f>'t3'!D6</f>
        <v>0</v>
      </c>
      <c r="T8" s="293">
        <f>'t3'!F6</f>
        <v>0</v>
      </c>
      <c r="U8" s="293">
        <f>'t3'!H6</f>
        <v>0</v>
      </c>
      <c r="V8" s="293">
        <f>'t3'!J6</f>
        <v>0</v>
      </c>
      <c r="W8" s="293">
        <f>O8+P8+Q8+R8-S8-T8-U8-V8</f>
        <v>0</v>
      </c>
      <c r="X8" s="293">
        <f>'t10'!AV6</f>
        <v>0</v>
      </c>
      <c r="Y8" s="598" t="str">
        <f>IF(O8&lt;(S8+T8+U8+V8),"ERRORE","OK")</f>
        <v>OK</v>
      </c>
      <c r="Z8" s="163" t="str">
        <f>IF(W8=X8,"OK","ERRORE")</f>
        <v>OK</v>
      </c>
    </row>
    <row r="9" spans="1:26" ht="14.1" customHeight="1" x14ac:dyDescent="0.2">
      <c r="A9" s="112" t="str">
        <f>'t1'!A7</f>
        <v>SEGRETARIO II FASCIA</v>
      </c>
      <c r="B9" s="158" t="str">
        <f>'t1'!B7</f>
        <v>0D0103</v>
      </c>
      <c r="C9" s="292">
        <f>'t1'!K7</f>
        <v>0</v>
      </c>
      <c r="D9" s="292">
        <f>'t3'!K7</f>
        <v>0</v>
      </c>
      <c r="E9" s="293">
        <f>'t3'!M7</f>
        <v>0</v>
      </c>
      <c r="F9" s="293">
        <f>'t3'!O7</f>
        <v>0</v>
      </c>
      <c r="G9" s="293">
        <f>'t3'!C7</f>
        <v>0</v>
      </c>
      <c r="H9" s="293">
        <f>'t3'!E7</f>
        <v>0</v>
      </c>
      <c r="I9" s="293">
        <f>'t3'!G7</f>
        <v>0</v>
      </c>
      <c r="J9" s="293">
        <f>'t3'!I7</f>
        <v>0</v>
      </c>
      <c r="K9" s="293">
        <f>C9+D9+E9+F9-G9-H9-I9-J9</f>
        <v>0</v>
      </c>
      <c r="L9" s="293">
        <f>'t10'!AU7</f>
        <v>0</v>
      </c>
      <c r="M9" s="598" t="str">
        <f>IF(C9&lt;(G9+H9+I9+J9),"ERRORE","OK")</f>
        <v>OK</v>
      </c>
      <c r="N9" s="86" t="str">
        <f>IF(K9=L9,"OK","ERRORE")</f>
        <v>OK</v>
      </c>
      <c r="O9" s="292">
        <f>'t1'!L7</f>
        <v>0</v>
      </c>
      <c r="P9" s="292">
        <f>'t3'!L7</f>
        <v>0</v>
      </c>
      <c r="Q9" s="293">
        <f>'t3'!N7</f>
        <v>0</v>
      </c>
      <c r="R9" s="293">
        <f>'t3'!P7</f>
        <v>0</v>
      </c>
      <c r="S9" s="293">
        <f>'t3'!D7</f>
        <v>0</v>
      </c>
      <c r="T9" s="293">
        <f>'t3'!F7</f>
        <v>0</v>
      </c>
      <c r="U9" s="293">
        <f>'t3'!H7</f>
        <v>0</v>
      </c>
      <c r="V9" s="293">
        <f>'t3'!J7</f>
        <v>0</v>
      </c>
      <c r="W9" s="293">
        <f>O9+P9+Q9+R9-S9-T9-U9-V9</f>
        <v>0</v>
      </c>
      <c r="X9" s="293">
        <f>'t10'!AV7</f>
        <v>0</v>
      </c>
      <c r="Y9" s="598" t="str">
        <f>IF(O9&lt;(S9+T9+U9+V9),"ERRORE","OK")</f>
        <v>OK</v>
      </c>
      <c r="Z9" s="163" t="str">
        <f>IF(W9=X9,"OK","ERRORE")</f>
        <v>OK</v>
      </c>
    </row>
    <row r="10" spans="1:26" ht="14.1" customHeight="1" x14ac:dyDescent="0.2">
      <c r="A10" s="112" t="str">
        <f>'t1'!A8</f>
        <v>SEGRETARIO III FASCIA</v>
      </c>
      <c r="B10" s="158" t="str">
        <f>'t1'!B8</f>
        <v>0D0485</v>
      </c>
      <c r="C10" s="292">
        <f>'t1'!K8</f>
        <v>0</v>
      </c>
      <c r="D10" s="292">
        <f>'t3'!K8</f>
        <v>0</v>
      </c>
      <c r="E10" s="293">
        <f>'t3'!M8</f>
        <v>0</v>
      </c>
      <c r="F10" s="293">
        <f>'t3'!O8</f>
        <v>0</v>
      </c>
      <c r="G10" s="293">
        <f>'t3'!C8</f>
        <v>0</v>
      </c>
      <c r="H10" s="293">
        <f>'t3'!E8</f>
        <v>0</v>
      </c>
      <c r="I10" s="293">
        <f>'t3'!G8</f>
        <v>0</v>
      </c>
      <c r="J10" s="293">
        <f>'t3'!I8</f>
        <v>0</v>
      </c>
      <c r="K10" s="293">
        <f>C10+D10+E10+F10-G10-H10-I10-J10</f>
        <v>0</v>
      </c>
      <c r="L10" s="293">
        <f>'t10'!AU8</f>
        <v>0</v>
      </c>
      <c r="M10" s="598" t="str">
        <f>IF(C10&lt;(G10+H10+I10+J10),"ERRORE","OK")</f>
        <v>OK</v>
      </c>
      <c r="N10" s="86" t="str">
        <f>IF(K10=L10,"OK","ERRORE")</f>
        <v>OK</v>
      </c>
      <c r="O10" s="292">
        <f>'t1'!L8</f>
        <v>0</v>
      </c>
      <c r="P10" s="292">
        <f>'t3'!L8</f>
        <v>0</v>
      </c>
      <c r="Q10" s="293">
        <f>'t3'!N8</f>
        <v>0</v>
      </c>
      <c r="R10" s="293">
        <f>'t3'!P8</f>
        <v>0</v>
      </c>
      <c r="S10" s="293">
        <f>'t3'!D8</f>
        <v>0</v>
      </c>
      <c r="T10" s="293">
        <f>'t3'!F8</f>
        <v>0</v>
      </c>
      <c r="U10" s="293">
        <f>'t3'!H8</f>
        <v>0</v>
      </c>
      <c r="V10" s="293">
        <f>'t3'!J8</f>
        <v>0</v>
      </c>
      <c r="W10" s="293">
        <f>O10+P10+Q10+R10-S10-T10-U10-V10</f>
        <v>0</v>
      </c>
      <c r="X10" s="293">
        <f>'t10'!AV8</f>
        <v>0</v>
      </c>
      <c r="Y10" s="598" t="str">
        <f>IF(O10&lt;(S10+T10+U10+V10),"ERRORE","OK")</f>
        <v>OK</v>
      </c>
      <c r="Z10" s="163" t="str">
        <f>IF(W10=X10,"OK","ERRORE")</f>
        <v>OK</v>
      </c>
    </row>
    <row r="11" spans="1:26" ht="14.1" customHeight="1" x14ac:dyDescent="0.2">
      <c r="A11" s="112" t="str">
        <f>'t1'!A9</f>
        <v>DIRIGENTI</v>
      </c>
      <c r="B11" s="158" t="str">
        <f>'t1'!B9</f>
        <v>0D0164</v>
      </c>
      <c r="C11" s="292">
        <f>'t1'!K9</f>
        <v>65</v>
      </c>
      <c r="D11" s="292">
        <f>'t3'!K9</f>
        <v>0</v>
      </c>
      <c r="E11" s="293">
        <f>'t3'!M9</f>
        <v>0</v>
      </c>
      <c r="F11" s="293">
        <f>'t3'!O9</f>
        <v>0</v>
      </c>
      <c r="G11" s="293">
        <f>'t3'!C9</f>
        <v>0</v>
      </c>
      <c r="H11" s="293">
        <f>'t3'!E9</f>
        <v>0</v>
      </c>
      <c r="I11" s="293">
        <f>'t3'!G9</f>
        <v>0</v>
      </c>
      <c r="J11" s="293">
        <f>'t3'!I9</f>
        <v>0</v>
      </c>
      <c r="K11" s="293">
        <f>C11+D11+E11+F11-G11-H11-I11-J11</f>
        <v>65</v>
      </c>
      <c r="L11" s="293">
        <f>'t10'!AU9</f>
        <v>65</v>
      </c>
      <c r="M11" s="598" t="str">
        <f>IF(C11&lt;(G11+H11+I11+J11),"ERRORE","OK")</f>
        <v>OK</v>
      </c>
      <c r="N11" s="86" t="str">
        <f>IF(K11=L11,"OK","ERRORE")</f>
        <v>OK</v>
      </c>
      <c r="O11" s="292">
        <f>'t1'!L9</f>
        <v>47</v>
      </c>
      <c r="P11" s="292">
        <f>'t3'!L9</f>
        <v>0</v>
      </c>
      <c r="Q11" s="293">
        <f>'t3'!N9</f>
        <v>0</v>
      </c>
      <c r="R11" s="293">
        <f>'t3'!P9</f>
        <v>0</v>
      </c>
      <c r="S11" s="293">
        <f>'t3'!D9</f>
        <v>0</v>
      </c>
      <c r="T11" s="293">
        <f>'t3'!F9</f>
        <v>0</v>
      </c>
      <c r="U11" s="293">
        <f>'t3'!H9</f>
        <v>0</v>
      </c>
      <c r="V11" s="293">
        <f>'t3'!J9</f>
        <v>0</v>
      </c>
      <c r="W11" s="293">
        <f>O11+P11+Q11+R11-S11-T11-U11-V11</f>
        <v>47</v>
      </c>
      <c r="X11" s="293">
        <f>'t10'!AV9</f>
        <v>47</v>
      </c>
      <c r="Y11" s="598" t="str">
        <f>IF(O11&lt;(S11+T11+U11+V11),"ERRORE","OK")</f>
        <v>OK</v>
      </c>
      <c r="Z11" s="163" t="str">
        <f>IF(W11=X11,"OK","ERRORE")</f>
        <v>OK</v>
      </c>
    </row>
    <row r="12" spans="1:26" ht="14.1" customHeight="1" x14ac:dyDescent="0.2">
      <c r="A12" s="112" t="str">
        <f>'t1'!A10</f>
        <v>POSIZIONE ECONOMICA D</v>
      </c>
      <c r="B12" s="158" t="str">
        <f>'t1'!B10</f>
        <v>047000</v>
      </c>
      <c r="C12" s="292">
        <f>'t1'!K10</f>
        <v>150</v>
      </c>
      <c r="D12" s="292">
        <f>'t3'!K10</f>
        <v>0</v>
      </c>
      <c r="E12" s="293">
        <f>'t3'!M10</f>
        <v>0</v>
      </c>
      <c r="F12" s="293">
        <f>'t3'!O10</f>
        <v>0</v>
      </c>
      <c r="G12" s="293">
        <f>'t3'!C10</f>
        <v>0</v>
      </c>
      <c r="H12" s="293">
        <f>'t3'!E10</f>
        <v>0</v>
      </c>
      <c r="I12" s="293">
        <f>'t3'!G10</f>
        <v>0</v>
      </c>
      <c r="J12" s="293">
        <f>'t3'!I10</f>
        <v>0</v>
      </c>
      <c r="K12" s="293">
        <f t="shared" ref="K12:K36" si="0">C12+D12+E12+F12-G12-H12-I12-J12</f>
        <v>150</v>
      </c>
      <c r="L12" s="293">
        <f>'t10'!AU10</f>
        <v>150</v>
      </c>
      <c r="M12" s="598" t="str">
        <f t="shared" ref="M12:M36" si="1">IF(C12&lt;(G12+H12+I12+J12),"ERRORE","OK")</f>
        <v>OK</v>
      </c>
      <c r="N12" s="86" t="str">
        <f t="shared" ref="N12:N36" si="2">IF(K12=L12,"OK","ERRORE")</f>
        <v>OK</v>
      </c>
      <c r="O12" s="292">
        <f>'t1'!L10</f>
        <v>310</v>
      </c>
      <c r="P12" s="292">
        <f>'t3'!L10</f>
        <v>0</v>
      </c>
      <c r="Q12" s="293">
        <f>'t3'!N10</f>
        <v>0</v>
      </c>
      <c r="R12" s="293">
        <f>'t3'!P10</f>
        <v>0</v>
      </c>
      <c r="S12" s="293">
        <f>'t3'!D10</f>
        <v>3</v>
      </c>
      <c r="T12" s="293">
        <f>'t3'!F10</f>
        <v>0</v>
      </c>
      <c r="U12" s="293">
        <f>'t3'!H10</f>
        <v>0</v>
      </c>
      <c r="V12" s="293">
        <f>'t3'!J10</f>
        <v>0</v>
      </c>
      <c r="W12" s="293">
        <f t="shared" ref="W12:W36" si="3">O12+P12+Q12+R12-S12-T12-U12-V12</f>
        <v>307</v>
      </c>
      <c r="X12" s="293">
        <f>'t10'!AV10</f>
        <v>307</v>
      </c>
      <c r="Y12" s="598" t="str">
        <f t="shared" ref="Y12:Y36" si="4">IF(O12&lt;(S12+T12+U12+V12),"ERRORE","OK")</f>
        <v>OK</v>
      </c>
      <c r="Z12" s="163" t="str">
        <f t="shared" ref="Z12:Z36" si="5">IF(W12=X12,"OK","ERRORE")</f>
        <v>OK</v>
      </c>
    </row>
    <row r="13" spans="1:26" ht="14.1" customHeight="1" x14ac:dyDescent="0.2">
      <c r="A13" s="112" t="str">
        <f>'t1'!A11</f>
        <v>POSIZIONE ECONOMICA D - FORESTALE</v>
      </c>
      <c r="B13" s="158" t="str">
        <f>'t1'!B11</f>
        <v>047FOR</v>
      </c>
      <c r="C13" s="292">
        <f>'t1'!K11</f>
        <v>0</v>
      </c>
      <c r="D13" s="292">
        <f>'t3'!K11</f>
        <v>0</v>
      </c>
      <c r="E13" s="293">
        <f>'t3'!M11</f>
        <v>0</v>
      </c>
      <c r="F13" s="293">
        <f>'t3'!O11</f>
        <v>0</v>
      </c>
      <c r="G13" s="293">
        <f>'t3'!C11</f>
        <v>0</v>
      </c>
      <c r="H13" s="293">
        <f>'t3'!E11</f>
        <v>0</v>
      </c>
      <c r="I13" s="293">
        <f>'t3'!G11</f>
        <v>0</v>
      </c>
      <c r="J13" s="293">
        <f>'t3'!I11</f>
        <v>0</v>
      </c>
      <c r="K13" s="293">
        <f t="shared" si="0"/>
        <v>0</v>
      </c>
      <c r="L13" s="293">
        <f>'t10'!AU11</f>
        <v>0</v>
      </c>
      <c r="M13" s="598" t="str">
        <f t="shared" si="1"/>
        <v>OK</v>
      </c>
      <c r="N13" s="86" t="str">
        <f t="shared" si="2"/>
        <v>OK</v>
      </c>
      <c r="O13" s="292">
        <f>'t1'!L11</f>
        <v>0</v>
      </c>
      <c r="P13" s="292">
        <f>'t3'!L11</f>
        <v>0</v>
      </c>
      <c r="Q13" s="293">
        <f>'t3'!N11</f>
        <v>0</v>
      </c>
      <c r="R13" s="293">
        <f>'t3'!P11</f>
        <v>0</v>
      </c>
      <c r="S13" s="293">
        <f>'t3'!D11</f>
        <v>0</v>
      </c>
      <c r="T13" s="293">
        <f>'t3'!F11</f>
        <v>0</v>
      </c>
      <c r="U13" s="293">
        <f>'t3'!H11</f>
        <v>0</v>
      </c>
      <c r="V13" s="293">
        <f>'t3'!J11</f>
        <v>0</v>
      </c>
      <c r="W13" s="293">
        <f t="shared" si="3"/>
        <v>0</v>
      </c>
      <c r="X13" s="293">
        <f>'t10'!AV11</f>
        <v>0</v>
      </c>
      <c r="Y13" s="598" t="str">
        <f t="shared" si="4"/>
        <v>OK</v>
      </c>
      <c r="Z13" s="163" t="str">
        <f t="shared" si="5"/>
        <v>OK</v>
      </c>
    </row>
    <row r="14" spans="1:26" ht="14.1" customHeight="1" x14ac:dyDescent="0.2">
      <c r="A14" s="112" t="str">
        <f>'t1'!A12</f>
        <v>POSIZIONE ECONOMICA D  ISPETTORE ANTINCENDI DIRETTORE-VVFF</v>
      </c>
      <c r="B14" s="158" t="str">
        <f>'t1'!B12</f>
        <v>047IS3</v>
      </c>
      <c r="C14" s="292">
        <f>'t1'!K12</f>
        <v>0</v>
      </c>
      <c r="D14" s="292">
        <f>'t3'!K12</f>
        <v>0</v>
      </c>
      <c r="E14" s="293">
        <f>'t3'!M12</f>
        <v>0</v>
      </c>
      <c r="F14" s="293">
        <f>'t3'!O12</f>
        <v>0</v>
      </c>
      <c r="G14" s="293">
        <f>'t3'!C12</f>
        <v>0</v>
      </c>
      <c r="H14" s="293">
        <f>'t3'!E12</f>
        <v>0</v>
      </c>
      <c r="I14" s="293">
        <f>'t3'!G12</f>
        <v>0</v>
      </c>
      <c r="J14" s="293">
        <f>'t3'!I12</f>
        <v>0</v>
      </c>
      <c r="K14" s="293">
        <f t="shared" si="0"/>
        <v>0</v>
      </c>
      <c r="L14" s="293">
        <f>'t10'!AU12</f>
        <v>0</v>
      </c>
      <c r="M14" s="598" t="str">
        <f t="shared" si="1"/>
        <v>OK</v>
      </c>
      <c r="N14" s="86" t="str">
        <f t="shared" si="2"/>
        <v>OK</v>
      </c>
      <c r="O14" s="292">
        <f>'t1'!L12</f>
        <v>0</v>
      </c>
      <c r="P14" s="292">
        <f>'t3'!L12</f>
        <v>0</v>
      </c>
      <c r="Q14" s="293">
        <f>'t3'!N12</f>
        <v>0</v>
      </c>
      <c r="R14" s="293">
        <f>'t3'!P12</f>
        <v>0</v>
      </c>
      <c r="S14" s="293">
        <f>'t3'!D12</f>
        <v>0</v>
      </c>
      <c r="T14" s="293">
        <f>'t3'!F12</f>
        <v>0</v>
      </c>
      <c r="U14" s="293">
        <f>'t3'!H12</f>
        <v>0</v>
      </c>
      <c r="V14" s="293">
        <f>'t3'!J12</f>
        <v>0</v>
      </c>
      <c r="W14" s="293">
        <f t="shared" si="3"/>
        <v>0</v>
      </c>
      <c r="X14" s="293">
        <f>'t10'!AV12</f>
        <v>0</v>
      </c>
      <c r="Y14" s="598" t="str">
        <f t="shared" si="4"/>
        <v>OK</v>
      </c>
      <c r="Z14" s="163" t="str">
        <f t="shared" si="5"/>
        <v>OK</v>
      </c>
    </row>
    <row r="15" spans="1:26" ht="14.1" customHeight="1" x14ac:dyDescent="0.2">
      <c r="A15" s="112" t="str">
        <f>'t1'!A13</f>
        <v>POSIZIONE ECONOMICA D  ISPETTORE ANTINCENDI  VVFF</v>
      </c>
      <c r="B15" s="158" t="str">
        <f>'t1'!B13</f>
        <v>047IS2</v>
      </c>
      <c r="C15" s="292">
        <f>'t1'!K13</f>
        <v>5</v>
      </c>
      <c r="D15" s="292">
        <f>'t3'!K13</f>
        <v>0</v>
      </c>
      <c r="E15" s="293">
        <f>'t3'!M13</f>
        <v>0</v>
      </c>
      <c r="F15" s="293">
        <f>'t3'!O13</f>
        <v>0</v>
      </c>
      <c r="G15" s="293">
        <f>'t3'!C13</f>
        <v>0</v>
      </c>
      <c r="H15" s="293">
        <f>'t3'!E13</f>
        <v>0</v>
      </c>
      <c r="I15" s="293">
        <f>'t3'!G13</f>
        <v>0</v>
      </c>
      <c r="J15" s="293">
        <f>'t3'!I13</f>
        <v>0</v>
      </c>
      <c r="K15" s="293">
        <f t="shared" si="0"/>
        <v>5</v>
      </c>
      <c r="L15" s="293">
        <f>'t10'!AU13</f>
        <v>5</v>
      </c>
      <c r="M15" s="598" t="str">
        <f t="shared" si="1"/>
        <v>OK</v>
      </c>
      <c r="N15" s="86" t="str">
        <f t="shared" si="2"/>
        <v>OK</v>
      </c>
      <c r="O15" s="292">
        <f>'t1'!L13</f>
        <v>0</v>
      </c>
      <c r="P15" s="292">
        <f>'t3'!L13</f>
        <v>0</v>
      </c>
      <c r="Q15" s="293">
        <f>'t3'!N13</f>
        <v>0</v>
      </c>
      <c r="R15" s="293">
        <f>'t3'!P13</f>
        <v>0</v>
      </c>
      <c r="S15" s="293">
        <f>'t3'!D13</f>
        <v>0</v>
      </c>
      <c r="T15" s="293">
        <f>'t3'!F13</f>
        <v>0</v>
      </c>
      <c r="U15" s="293">
        <f>'t3'!H13</f>
        <v>0</v>
      </c>
      <c r="V15" s="293">
        <f>'t3'!J13</f>
        <v>0</v>
      </c>
      <c r="W15" s="293">
        <f t="shared" si="3"/>
        <v>0</v>
      </c>
      <c r="X15" s="293">
        <f>'t10'!AV13</f>
        <v>0</v>
      </c>
      <c r="Y15" s="598" t="str">
        <f t="shared" si="4"/>
        <v>OK</v>
      </c>
      <c r="Z15" s="163" t="str">
        <f t="shared" si="5"/>
        <v>OK</v>
      </c>
    </row>
    <row r="16" spans="1:26" ht="14.1" customHeight="1" x14ac:dyDescent="0.2">
      <c r="A16" s="112" t="str">
        <f>'t1'!A14</f>
        <v>POSIZIONE ECONOMICA C2</v>
      </c>
      <c r="B16" s="158" t="str">
        <f>'t1'!B14</f>
        <v>042000</v>
      </c>
      <c r="C16" s="292">
        <f>'t1'!K14</f>
        <v>282</v>
      </c>
      <c r="D16" s="292">
        <f>'t3'!K14</f>
        <v>0</v>
      </c>
      <c r="E16" s="293">
        <f>'t3'!M14</f>
        <v>0</v>
      </c>
      <c r="F16" s="293">
        <f>'t3'!O14</f>
        <v>0</v>
      </c>
      <c r="G16" s="293">
        <f>'t3'!C14</f>
        <v>0</v>
      </c>
      <c r="H16" s="293">
        <f>'t3'!E14</f>
        <v>0</v>
      </c>
      <c r="I16" s="293">
        <f>'t3'!G14</f>
        <v>0</v>
      </c>
      <c r="J16" s="293">
        <f>'t3'!I14</f>
        <v>0</v>
      </c>
      <c r="K16" s="293">
        <f t="shared" si="0"/>
        <v>282</v>
      </c>
      <c r="L16" s="293">
        <f>'t10'!AU14</f>
        <v>282</v>
      </c>
      <c r="M16" s="598" t="str">
        <f t="shared" si="1"/>
        <v>OK</v>
      </c>
      <c r="N16" s="86" t="str">
        <f t="shared" si="2"/>
        <v>OK</v>
      </c>
      <c r="O16" s="292">
        <f>'t1'!L14</f>
        <v>484</v>
      </c>
      <c r="P16" s="292">
        <f>'t3'!L14</f>
        <v>0</v>
      </c>
      <c r="Q16" s="293">
        <f>'t3'!N14</f>
        <v>0</v>
      </c>
      <c r="R16" s="293">
        <f>'t3'!P14</f>
        <v>0</v>
      </c>
      <c r="S16" s="293">
        <f>'t3'!D14</f>
        <v>5</v>
      </c>
      <c r="T16" s="293">
        <f>'t3'!F14</f>
        <v>0</v>
      </c>
      <c r="U16" s="293">
        <f>'t3'!H14</f>
        <v>0</v>
      </c>
      <c r="V16" s="293">
        <f>'t3'!J14</f>
        <v>0</v>
      </c>
      <c r="W16" s="293">
        <f t="shared" si="3"/>
        <v>479</v>
      </c>
      <c r="X16" s="293">
        <f>'t10'!AV14</f>
        <v>479</v>
      </c>
      <c r="Y16" s="598" t="str">
        <f t="shared" si="4"/>
        <v>OK</v>
      </c>
      <c r="Z16" s="163" t="str">
        <f t="shared" si="5"/>
        <v>OK</v>
      </c>
    </row>
    <row r="17" spans="1:26" ht="14.1" customHeight="1" x14ac:dyDescent="0.2">
      <c r="A17" s="112" t="str">
        <f>'t1'!A15</f>
        <v>POSIZIONE ECONOMICA C1</v>
      </c>
      <c r="B17" s="158" t="str">
        <f>'t1'!B15</f>
        <v>040000</v>
      </c>
      <c r="C17" s="292">
        <f>'t1'!K15</f>
        <v>11</v>
      </c>
      <c r="D17" s="292">
        <f>'t3'!K15</f>
        <v>0</v>
      </c>
      <c r="E17" s="293">
        <f>'t3'!M15</f>
        <v>0</v>
      </c>
      <c r="F17" s="293">
        <f>'t3'!O15</f>
        <v>0</v>
      </c>
      <c r="G17" s="293">
        <f>'t3'!C15</f>
        <v>0</v>
      </c>
      <c r="H17" s="293">
        <f>'t3'!E15</f>
        <v>0</v>
      </c>
      <c r="I17" s="293">
        <f>'t3'!G15</f>
        <v>0</v>
      </c>
      <c r="J17" s="293">
        <f>'t3'!I15</f>
        <v>0</v>
      </c>
      <c r="K17" s="293">
        <f t="shared" si="0"/>
        <v>11</v>
      </c>
      <c r="L17" s="293">
        <f>'t10'!AU15</f>
        <v>11</v>
      </c>
      <c r="M17" s="598" t="str">
        <f t="shared" si="1"/>
        <v>OK</v>
      </c>
      <c r="N17" s="86" t="str">
        <f t="shared" si="2"/>
        <v>OK</v>
      </c>
      <c r="O17" s="292">
        <f>'t1'!L15</f>
        <v>14</v>
      </c>
      <c r="P17" s="292">
        <f>'t3'!L15</f>
        <v>0</v>
      </c>
      <c r="Q17" s="293">
        <f>'t3'!N15</f>
        <v>0</v>
      </c>
      <c r="R17" s="293">
        <f>'t3'!P15</f>
        <v>0</v>
      </c>
      <c r="S17" s="293">
        <f>'t3'!D15</f>
        <v>0</v>
      </c>
      <c r="T17" s="293">
        <f>'t3'!F15</f>
        <v>0</v>
      </c>
      <c r="U17" s="293">
        <f>'t3'!H15</f>
        <v>0</v>
      </c>
      <c r="V17" s="293">
        <f>'t3'!J15</f>
        <v>0</v>
      </c>
      <c r="W17" s="293">
        <f t="shared" si="3"/>
        <v>14</v>
      </c>
      <c r="X17" s="293">
        <f>'t10'!AV15</f>
        <v>14</v>
      </c>
      <c r="Y17" s="598" t="str">
        <f t="shared" si="4"/>
        <v>OK</v>
      </c>
      <c r="Z17" s="163" t="str">
        <f t="shared" si="5"/>
        <v>OK</v>
      </c>
    </row>
    <row r="18" spans="1:26" ht="14.1" customHeight="1" x14ac:dyDescent="0.2">
      <c r="A18" s="112" t="str">
        <f>'t1'!A16</f>
        <v>ISPETTORE FORESTALE C21F</v>
      </c>
      <c r="B18" s="158" t="str">
        <f>'t1'!B16</f>
        <v>042324</v>
      </c>
      <c r="C18" s="292">
        <f>'t1'!K16</f>
        <v>14</v>
      </c>
      <c r="D18" s="292">
        <f>'t3'!K16</f>
        <v>0</v>
      </c>
      <c r="E18" s="293">
        <f>'t3'!M16</f>
        <v>0</v>
      </c>
      <c r="F18" s="293">
        <f>'t3'!O16</f>
        <v>0</v>
      </c>
      <c r="G18" s="293">
        <f>'t3'!C16</f>
        <v>2</v>
      </c>
      <c r="H18" s="293">
        <f>'t3'!E16</f>
        <v>0</v>
      </c>
      <c r="I18" s="293">
        <f>'t3'!G16</f>
        <v>0</v>
      </c>
      <c r="J18" s="293">
        <f>'t3'!I16</f>
        <v>0</v>
      </c>
      <c r="K18" s="293">
        <f t="shared" si="0"/>
        <v>12</v>
      </c>
      <c r="L18" s="293">
        <f>'t10'!AU16</f>
        <v>12</v>
      </c>
      <c r="M18" s="598" t="str">
        <f t="shared" si="1"/>
        <v>OK</v>
      </c>
      <c r="N18" s="86" t="str">
        <f t="shared" si="2"/>
        <v>OK</v>
      </c>
      <c r="O18" s="292">
        <f>'t1'!L16</f>
        <v>5</v>
      </c>
      <c r="P18" s="292">
        <f>'t3'!L16</f>
        <v>0</v>
      </c>
      <c r="Q18" s="293">
        <f>'t3'!N16</f>
        <v>0</v>
      </c>
      <c r="R18" s="293">
        <f>'t3'!P16</f>
        <v>0</v>
      </c>
      <c r="S18" s="293">
        <f>'t3'!D16</f>
        <v>0</v>
      </c>
      <c r="T18" s="293">
        <f>'t3'!F16</f>
        <v>0</v>
      </c>
      <c r="U18" s="293">
        <f>'t3'!H16</f>
        <v>0</v>
      </c>
      <c r="V18" s="293">
        <f>'t3'!J16</f>
        <v>0</v>
      </c>
      <c r="W18" s="293">
        <f t="shared" si="3"/>
        <v>5</v>
      </c>
      <c r="X18" s="293">
        <f>'t10'!AV16</f>
        <v>5</v>
      </c>
      <c r="Y18" s="598" t="str">
        <f t="shared" si="4"/>
        <v>OK</v>
      </c>
      <c r="Z18" s="163" t="str">
        <f t="shared" si="5"/>
        <v>OK</v>
      </c>
    </row>
    <row r="19" spans="1:26" ht="14.1" customHeight="1" x14ac:dyDescent="0.2">
      <c r="A19" s="112" t="str">
        <f>'t1'!A17</f>
        <v>SOVRAINTENDENTE C1F</v>
      </c>
      <c r="B19" s="158" t="str">
        <f>'t1'!B17</f>
        <v>040211</v>
      </c>
      <c r="C19" s="292">
        <f>'t1'!K17</f>
        <v>19</v>
      </c>
      <c r="D19" s="292">
        <f>'t3'!K17</f>
        <v>0</v>
      </c>
      <c r="E19" s="293">
        <f>'t3'!M17</f>
        <v>0</v>
      </c>
      <c r="F19" s="293">
        <f>'t3'!O17</f>
        <v>0</v>
      </c>
      <c r="G19" s="293">
        <f>'t3'!C17</f>
        <v>0</v>
      </c>
      <c r="H19" s="293">
        <f>'t3'!E17</f>
        <v>0</v>
      </c>
      <c r="I19" s="293">
        <f>'t3'!G17</f>
        <v>0</v>
      </c>
      <c r="J19" s="293">
        <f>'t3'!I17</f>
        <v>0</v>
      </c>
      <c r="K19" s="293">
        <f t="shared" si="0"/>
        <v>19</v>
      </c>
      <c r="L19" s="293">
        <f>'t10'!AU17</f>
        <v>19</v>
      </c>
      <c r="M19" s="598" t="str">
        <f t="shared" si="1"/>
        <v>OK</v>
      </c>
      <c r="N19" s="86" t="str">
        <f t="shared" si="2"/>
        <v>OK</v>
      </c>
      <c r="O19" s="292">
        <f>'t1'!L17</f>
        <v>8</v>
      </c>
      <c r="P19" s="292">
        <f>'t3'!L17</f>
        <v>0</v>
      </c>
      <c r="Q19" s="293">
        <f>'t3'!N17</f>
        <v>0</v>
      </c>
      <c r="R19" s="293">
        <f>'t3'!P17</f>
        <v>0</v>
      </c>
      <c r="S19" s="293">
        <f>'t3'!D17</f>
        <v>0</v>
      </c>
      <c r="T19" s="293">
        <f>'t3'!F17</f>
        <v>0</v>
      </c>
      <c r="U19" s="293">
        <f>'t3'!H17</f>
        <v>0</v>
      </c>
      <c r="V19" s="293">
        <f>'t3'!J17</f>
        <v>0</v>
      </c>
      <c r="W19" s="293">
        <f t="shared" si="3"/>
        <v>8</v>
      </c>
      <c r="X19" s="293">
        <f>'t10'!AV17</f>
        <v>8</v>
      </c>
      <c r="Y19" s="598" t="str">
        <f t="shared" si="4"/>
        <v>OK</v>
      </c>
      <c r="Z19" s="163" t="str">
        <f t="shared" si="5"/>
        <v>OK</v>
      </c>
    </row>
    <row r="20" spans="1:26" ht="14.1" customHeight="1" x14ac:dyDescent="0.2">
      <c r="A20" s="112" t="str">
        <f>'t1'!A18</f>
        <v>POSIZIONE ECONOMICA C2  CAPO REPARTO  VVFF</v>
      </c>
      <c r="B20" s="158" t="str">
        <f>'t1'!B18</f>
        <v>042CR1</v>
      </c>
      <c r="C20" s="292">
        <f>'t1'!K18</f>
        <v>11</v>
      </c>
      <c r="D20" s="292">
        <f>'t3'!K18</f>
        <v>0</v>
      </c>
      <c r="E20" s="293">
        <f>'t3'!M18</f>
        <v>0</v>
      </c>
      <c r="F20" s="293">
        <f>'t3'!O18</f>
        <v>0</v>
      </c>
      <c r="G20" s="293">
        <f>'t3'!C18</f>
        <v>0</v>
      </c>
      <c r="H20" s="293">
        <f>'t3'!E18</f>
        <v>0</v>
      </c>
      <c r="I20" s="293">
        <f>'t3'!G18</f>
        <v>0</v>
      </c>
      <c r="J20" s="293">
        <f>'t3'!I18</f>
        <v>0</v>
      </c>
      <c r="K20" s="293">
        <f t="shared" si="0"/>
        <v>11</v>
      </c>
      <c r="L20" s="293">
        <f>'t10'!AU18</f>
        <v>11</v>
      </c>
      <c r="M20" s="598" t="str">
        <f t="shared" si="1"/>
        <v>OK</v>
      </c>
      <c r="N20" s="86" t="str">
        <f t="shared" si="2"/>
        <v>OK</v>
      </c>
      <c r="O20" s="292">
        <f>'t1'!L18</f>
        <v>0</v>
      </c>
      <c r="P20" s="292">
        <f>'t3'!L18</f>
        <v>0</v>
      </c>
      <c r="Q20" s="293">
        <f>'t3'!N18</f>
        <v>0</v>
      </c>
      <c r="R20" s="293">
        <f>'t3'!P18</f>
        <v>0</v>
      </c>
      <c r="S20" s="293">
        <f>'t3'!D18</f>
        <v>0</v>
      </c>
      <c r="T20" s="293">
        <f>'t3'!F18</f>
        <v>0</v>
      </c>
      <c r="U20" s="293">
        <f>'t3'!H18</f>
        <v>0</v>
      </c>
      <c r="V20" s="293">
        <f>'t3'!J18</f>
        <v>0</v>
      </c>
      <c r="W20" s="293">
        <f t="shared" si="3"/>
        <v>0</v>
      </c>
      <c r="X20" s="293">
        <f>'t10'!AV18</f>
        <v>0</v>
      </c>
      <c r="Y20" s="598" t="str">
        <f t="shared" si="4"/>
        <v>OK</v>
      </c>
      <c r="Z20" s="163" t="str">
        <f t="shared" si="5"/>
        <v>OK</v>
      </c>
    </row>
    <row r="21" spans="1:26" ht="14.1" customHeight="1" x14ac:dyDescent="0.2">
      <c r="A21" s="112" t="str">
        <f>'t1'!A19</f>
        <v>POSIZIONE ECONOMICA C2  COLLAB. TECNICO ANTINCENDI  VVFF</v>
      </c>
      <c r="B21" s="158" t="str">
        <f>'t1'!B19</f>
        <v>042CA0</v>
      </c>
      <c r="C21" s="292">
        <f>'t1'!K19</f>
        <v>8</v>
      </c>
      <c r="D21" s="292">
        <f>'t3'!K19</f>
        <v>0</v>
      </c>
      <c r="E21" s="293">
        <f>'t3'!M19</f>
        <v>0</v>
      </c>
      <c r="F21" s="293">
        <f>'t3'!O19</f>
        <v>0</v>
      </c>
      <c r="G21" s="293">
        <f>'t3'!C19</f>
        <v>0</v>
      </c>
      <c r="H21" s="293">
        <f>'t3'!E19</f>
        <v>0</v>
      </c>
      <c r="I21" s="293">
        <f>'t3'!G19</f>
        <v>0</v>
      </c>
      <c r="J21" s="293">
        <f>'t3'!I19</f>
        <v>0</v>
      </c>
      <c r="K21" s="293">
        <f t="shared" si="0"/>
        <v>8</v>
      </c>
      <c r="L21" s="293">
        <f>'t10'!AU19</f>
        <v>8</v>
      </c>
      <c r="M21" s="598" t="str">
        <f t="shared" si="1"/>
        <v>OK</v>
      </c>
      <c r="N21" s="86" t="str">
        <f t="shared" si="2"/>
        <v>OK</v>
      </c>
      <c r="O21" s="292">
        <f>'t1'!L19</f>
        <v>0</v>
      </c>
      <c r="P21" s="292">
        <f>'t3'!L19</f>
        <v>0</v>
      </c>
      <c r="Q21" s="293">
        <f>'t3'!N19</f>
        <v>0</v>
      </c>
      <c r="R21" s="293">
        <f>'t3'!P19</f>
        <v>0</v>
      </c>
      <c r="S21" s="293">
        <f>'t3'!D19</f>
        <v>0</v>
      </c>
      <c r="T21" s="293">
        <f>'t3'!F19</f>
        <v>0</v>
      </c>
      <c r="U21" s="293">
        <f>'t3'!H19</f>
        <v>0</v>
      </c>
      <c r="V21" s="293">
        <f>'t3'!J19</f>
        <v>0</v>
      </c>
      <c r="W21" s="293">
        <f t="shared" si="3"/>
        <v>0</v>
      </c>
      <c r="X21" s="293">
        <f>'t10'!AV19</f>
        <v>0</v>
      </c>
      <c r="Y21" s="598" t="str">
        <f t="shared" si="4"/>
        <v>OK</v>
      </c>
      <c r="Z21" s="163" t="str">
        <f t="shared" si="5"/>
        <v>OK</v>
      </c>
    </row>
    <row r="22" spans="1:26" ht="14.1" customHeight="1" x14ac:dyDescent="0.2">
      <c r="A22" s="112" t="str">
        <f>'t1'!A20</f>
        <v>POSIZIONE ECONOMICA C1  CAPO SQUADRA  VVFF</v>
      </c>
      <c r="B22" s="158" t="str">
        <f>'t1'!B20</f>
        <v>040CS1</v>
      </c>
      <c r="C22" s="292">
        <f>'t1'!K20</f>
        <v>31</v>
      </c>
      <c r="D22" s="292">
        <f>'t3'!K20</f>
        <v>0</v>
      </c>
      <c r="E22" s="293">
        <f>'t3'!M20</f>
        <v>0</v>
      </c>
      <c r="F22" s="293">
        <f>'t3'!O20</f>
        <v>0</v>
      </c>
      <c r="G22" s="293">
        <f>'t3'!C20</f>
        <v>0</v>
      </c>
      <c r="H22" s="293">
        <f>'t3'!E20</f>
        <v>0</v>
      </c>
      <c r="I22" s="293">
        <f>'t3'!G20</f>
        <v>0</v>
      </c>
      <c r="J22" s="293">
        <f>'t3'!I20</f>
        <v>0</v>
      </c>
      <c r="K22" s="293">
        <f t="shared" si="0"/>
        <v>31</v>
      </c>
      <c r="L22" s="293">
        <f>'t10'!AU20</f>
        <v>31</v>
      </c>
      <c r="M22" s="598" t="str">
        <f t="shared" si="1"/>
        <v>OK</v>
      </c>
      <c r="N22" s="86" t="str">
        <f t="shared" si="2"/>
        <v>OK</v>
      </c>
      <c r="O22" s="292">
        <f>'t1'!L20</f>
        <v>0</v>
      </c>
      <c r="P22" s="292">
        <f>'t3'!L20</f>
        <v>0</v>
      </c>
      <c r="Q22" s="293">
        <f>'t3'!N20</f>
        <v>0</v>
      </c>
      <c r="R22" s="293">
        <f>'t3'!P20</f>
        <v>0</v>
      </c>
      <c r="S22" s="293">
        <f>'t3'!D20</f>
        <v>0</v>
      </c>
      <c r="T22" s="293">
        <f>'t3'!F20</f>
        <v>0</v>
      </c>
      <c r="U22" s="293">
        <f>'t3'!H20</f>
        <v>0</v>
      </c>
      <c r="V22" s="293">
        <f>'t3'!J20</f>
        <v>0</v>
      </c>
      <c r="W22" s="293">
        <f t="shared" si="3"/>
        <v>0</v>
      </c>
      <c r="X22" s="293">
        <f>'t10'!AV20</f>
        <v>0</v>
      </c>
      <c r="Y22" s="598" t="str">
        <f t="shared" si="4"/>
        <v>OK</v>
      </c>
      <c r="Z22" s="163" t="str">
        <f t="shared" si="5"/>
        <v>OK</v>
      </c>
    </row>
    <row r="23" spans="1:26" ht="14.1" customHeight="1" x14ac:dyDescent="0.2">
      <c r="A23" s="112" t="str">
        <f>'t1'!A21</f>
        <v>POSIZIONE ECONOMICA B3</v>
      </c>
      <c r="B23" s="158" t="str">
        <f>'t1'!B21</f>
        <v>034000</v>
      </c>
      <c r="C23" s="292">
        <f>'t1'!K21</f>
        <v>10</v>
      </c>
      <c r="D23" s="292">
        <f>'t3'!K21</f>
        <v>0</v>
      </c>
      <c r="E23" s="293">
        <f>'t3'!M21</f>
        <v>0</v>
      </c>
      <c r="F23" s="293">
        <f>'t3'!O21</f>
        <v>0</v>
      </c>
      <c r="G23" s="293">
        <f>'t3'!C21</f>
        <v>0</v>
      </c>
      <c r="H23" s="293">
        <f>'t3'!E21</f>
        <v>0</v>
      </c>
      <c r="I23" s="293">
        <f>'t3'!G21</f>
        <v>0</v>
      </c>
      <c r="J23" s="293">
        <f>'t3'!I21</f>
        <v>0</v>
      </c>
      <c r="K23" s="293">
        <f t="shared" si="0"/>
        <v>10</v>
      </c>
      <c r="L23" s="293">
        <f>'t10'!AU21</f>
        <v>10</v>
      </c>
      <c r="M23" s="598" t="str">
        <f t="shared" si="1"/>
        <v>OK</v>
      </c>
      <c r="N23" s="86" t="str">
        <f t="shared" si="2"/>
        <v>OK</v>
      </c>
      <c r="O23" s="292">
        <f>'t1'!L21</f>
        <v>3</v>
      </c>
      <c r="P23" s="292">
        <f>'t3'!L21</f>
        <v>0</v>
      </c>
      <c r="Q23" s="293">
        <f>'t3'!N21</f>
        <v>0</v>
      </c>
      <c r="R23" s="293">
        <f>'t3'!P21</f>
        <v>0</v>
      </c>
      <c r="S23" s="293">
        <f>'t3'!D21</f>
        <v>0</v>
      </c>
      <c r="T23" s="293">
        <f>'t3'!F21</f>
        <v>0</v>
      </c>
      <c r="U23" s="293">
        <f>'t3'!H21</f>
        <v>0</v>
      </c>
      <c r="V23" s="293">
        <f>'t3'!J21</f>
        <v>0</v>
      </c>
      <c r="W23" s="293">
        <f t="shared" si="3"/>
        <v>3</v>
      </c>
      <c r="X23" s="293">
        <f>'t10'!AV21</f>
        <v>3</v>
      </c>
      <c r="Y23" s="598" t="str">
        <f t="shared" si="4"/>
        <v>OK</v>
      </c>
      <c r="Z23" s="163" t="str">
        <f t="shared" si="5"/>
        <v>OK</v>
      </c>
    </row>
    <row r="24" spans="1:26" ht="14.1" customHeight="1" x14ac:dyDescent="0.2">
      <c r="A24" s="112" t="str">
        <f>'t1'!A22</f>
        <v>POSIZIONE ECONOMICA B2S</v>
      </c>
      <c r="B24" s="158" t="str">
        <f>'t1'!B22</f>
        <v>033000</v>
      </c>
      <c r="C24" s="292">
        <f>'t1'!K22</f>
        <v>0</v>
      </c>
      <c r="D24" s="292">
        <f>'t3'!K22</f>
        <v>0</v>
      </c>
      <c r="E24" s="293">
        <f>'t3'!M22</f>
        <v>0</v>
      </c>
      <c r="F24" s="293">
        <f>'t3'!O22</f>
        <v>0</v>
      </c>
      <c r="G24" s="293">
        <f>'t3'!C22</f>
        <v>0</v>
      </c>
      <c r="H24" s="293">
        <f>'t3'!E22</f>
        <v>0</v>
      </c>
      <c r="I24" s="293">
        <f>'t3'!G22</f>
        <v>0</v>
      </c>
      <c r="J24" s="293">
        <f>'t3'!I22</f>
        <v>0</v>
      </c>
      <c r="K24" s="293">
        <f t="shared" si="0"/>
        <v>0</v>
      </c>
      <c r="L24" s="293">
        <f>'t10'!AU22</f>
        <v>0</v>
      </c>
      <c r="M24" s="598" t="str">
        <f t="shared" si="1"/>
        <v>OK</v>
      </c>
      <c r="N24" s="86" t="str">
        <f t="shared" si="2"/>
        <v>OK</v>
      </c>
      <c r="O24" s="292">
        <f>'t1'!L22</f>
        <v>5</v>
      </c>
      <c r="P24" s="292">
        <f>'t3'!L22</f>
        <v>0</v>
      </c>
      <c r="Q24" s="293">
        <f>'t3'!N22</f>
        <v>0</v>
      </c>
      <c r="R24" s="293">
        <f>'t3'!P22</f>
        <v>0</v>
      </c>
      <c r="S24" s="293">
        <f>'t3'!D22</f>
        <v>0</v>
      </c>
      <c r="T24" s="293">
        <f>'t3'!F22</f>
        <v>0</v>
      </c>
      <c r="U24" s="293">
        <f>'t3'!H22</f>
        <v>0</v>
      </c>
      <c r="V24" s="293">
        <f>'t3'!J22</f>
        <v>0</v>
      </c>
      <c r="W24" s="293">
        <f t="shared" si="3"/>
        <v>5</v>
      </c>
      <c r="X24" s="293">
        <f>'t10'!AV22</f>
        <v>5</v>
      </c>
      <c r="Y24" s="598" t="str">
        <f t="shared" si="4"/>
        <v>OK</v>
      </c>
      <c r="Z24" s="163" t="str">
        <f t="shared" si="5"/>
        <v>OK</v>
      </c>
    </row>
    <row r="25" spans="1:26" ht="14.1" customHeight="1" x14ac:dyDescent="0.2">
      <c r="A25" s="112" t="str">
        <f>'t1'!A23</f>
        <v>POSIZIONE ECONOMICA B2</v>
      </c>
      <c r="B25" s="158" t="str">
        <f>'t1'!B23</f>
        <v>032000</v>
      </c>
      <c r="C25" s="292">
        <f>'t1'!K23</f>
        <v>174</v>
      </c>
      <c r="D25" s="292">
        <f>'t3'!K23</f>
        <v>0</v>
      </c>
      <c r="E25" s="293">
        <f>'t3'!M23</f>
        <v>0</v>
      </c>
      <c r="F25" s="293">
        <f>'t3'!O23</f>
        <v>0</v>
      </c>
      <c r="G25" s="293">
        <f>'t3'!C23</f>
        <v>0</v>
      </c>
      <c r="H25" s="293">
        <f>'t3'!E23</f>
        <v>0</v>
      </c>
      <c r="I25" s="293">
        <f>'t3'!G23</f>
        <v>0</v>
      </c>
      <c r="J25" s="293">
        <f>'t3'!I23</f>
        <v>0</v>
      </c>
      <c r="K25" s="293">
        <f t="shared" si="0"/>
        <v>174</v>
      </c>
      <c r="L25" s="293">
        <f>'t10'!AU23</f>
        <v>174</v>
      </c>
      <c r="M25" s="598" t="str">
        <f t="shared" si="1"/>
        <v>OK</v>
      </c>
      <c r="N25" s="86" t="str">
        <f t="shared" si="2"/>
        <v>OK</v>
      </c>
      <c r="O25" s="292">
        <f>'t1'!L23</f>
        <v>342</v>
      </c>
      <c r="P25" s="292">
        <f>'t3'!L23</f>
        <v>0</v>
      </c>
      <c r="Q25" s="293">
        <f>'t3'!N23</f>
        <v>0</v>
      </c>
      <c r="R25" s="293">
        <f>'t3'!P23</f>
        <v>0</v>
      </c>
      <c r="S25" s="293">
        <f>'t3'!D23</f>
        <v>4</v>
      </c>
      <c r="T25" s="293">
        <f>'t3'!F23</f>
        <v>0</v>
      </c>
      <c r="U25" s="293">
        <f>'t3'!H23</f>
        <v>0</v>
      </c>
      <c r="V25" s="293">
        <f>'t3'!J23</f>
        <v>0</v>
      </c>
      <c r="W25" s="293">
        <f t="shared" si="3"/>
        <v>338</v>
      </c>
      <c r="X25" s="293">
        <f>'t10'!AV23</f>
        <v>338</v>
      </c>
      <c r="Y25" s="598" t="str">
        <f t="shared" si="4"/>
        <v>OK</v>
      </c>
      <c r="Z25" s="163" t="str">
        <f t="shared" si="5"/>
        <v>OK</v>
      </c>
    </row>
    <row r="26" spans="1:26" ht="14.1" customHeight="1" x14ac:dyDescent="0.2">
      <c r="A26" s="112" t="str">
        <f>'t1'!A24</f>
        <v>POSIZIONE ECONOMICA B1</v>
      </c>
      <c r="B26" s="158" t="str">
        <f>'t1'!B24</f>
        <v>030000</v>
      </c>
      <c r="C26" s="292">
        <f>'t1'!K24</f>
        <v>21</v>
      </c>
      <c r="D26" s="292">
        <f>'t3'!K24</f>
        <v>0</v>
      </c>
      <c r="E26" s="293">
        <f>'t3'!M24</f>
        <v>0</v>
      </c>
      <c r="F26" s="293">
        <f>'t3'!O24</f>
        <v>0</v>
      </c>
      <c r="G26" s="293">
        <f>'t3'!C24</f>
        <v>0</v>
      </c>
      <c r="H26" s="293">
        <f>'t3'!E24</f>
        <v>0</v>
      </c>
      <c r="I26" s="293">
        <f>'t3'!G24</f>
        <v>0</v>
      </c>
      <c r="J26" s="293">
        <f>'t3'!I24</f>
        <v>0</v>
      </c>
      <c r="K26" s="293">
        <f t="shared" si="0"/>
        <v>21</v>
      </c>
      <c r="L26" s="293">
        <f>'t10'!AU24</f>
        <v>21</v>
      </c>
      <c r="M26" s="598" t="str">
        <f t="shared" si="1"/>
        <v>OK</v>
      </c>
      <c r="N26" s="86" t="str">
        <f t="shared" si="2"/>
        <v>OK</v>
      </c>
      <c r="O26" s="292">
        <f>'t1'!L24</f>
        <v>2</v>
      </c>
      <c r="P26" s="292">
        <f>'t3'!L24</f>
        <v>0</v>
      </c>
      <c r="Q26" s="293">
        <f>'t3'!N24</f>
        <v>0</v>
      </c>
      <c r="R26" s="293">
        <f>'t3'!P24</f>
        <v>0</v>
      </c>
      <c r="S26" s="293">
        <f>'t3'!D24</f>
        <v>0</v>
      </c>
      <c r="T26" s="293">
        <f>'t3'!F24</f>
        <v>0</v>
      </c>
      <c r="U26" s="293">
        <f>'t3'!H24</f>
        <v>0</v>
      </c>
      <c r="V26" s="293">
        <f>'t3'!J24</f>
        <v>0</v>
      </c>
      <c r="W26" s="293">
        <f t="shared" si="3"/>
        <v>2</v>
      </c>
      <c r="X26" s="293">
        <f>'t10'!AV24</f>
        <v>2</v>
      </c>
      <c r="Y26" s="598" t="str">
        <f t="shared" si="4"/>
        <v>OK</v>
      </c>
      <c r="Z26" s="163" t="str">
        <f t="shared" si="5"/>
        <v>OK</v>
      </c>
    </row>
    <row r="27" spans="1:26" ht="14.1" customHeight="1" x14ac:dyDescent="0.2">
      <c r="A27" s="112" t="str">
        <f>'t1'!A25</f>
        <v>POS. EC. B3-GUARDIA  FORESTALE 5 A.</v>
      </c>
      <c r="B27" s="158" t="str">
        <f>'t1'!B25</f>
        <v>034561</v>
      </c>
      <c r="C27" s="292">
        <f>'t1'!K25</f>
        <v>29</v>
      </c>
      <c r="D27" s="292">
        <f>'t3'!K25</f>
        <v>0</v>
      </c>
      <c r="E27" s="293">
        <f>'t3'!M25</f>
        <v>0</v>
      </c>
      <c r="F27" s="293">
        <f>'t3'!O25</f>
        <v>0</v>
      </c>
      <c r="G27" s="293">
        <f>'t3'!C25</f>
        <v>0</v>
      </c>
      <c r="H27" s="293">
        <f>'t3'!E25</f>
        <v>0</v>
      </c>
      <c r="I27" s="293">
        <f>'t3'!G25</f>
        <v>0</v>
      </c>
      <c r="J27" s="293">
        <f>'t3'!I25</f>
        <v>0</v>
      </c>
      <c r="K27" s="293">
        <f t="shared" si="0"/>
        <v>29</v>
      </c>
      <c r="L27" s="293">
        <f>'t10'!AU25</f>
        <v>29</v>
      </c>
      <c r="M27" s="598" t="str">
        <f t="shared" si="1"/>
        <v>OK</v>
      </c>
      <c r="N27" s="86" t="str">
        <f t="shared" si="2"/>
        <v>OK</v>
      </c>
      <c r="O27" s="292">
        <f>'t1'!L25</f>
        <v>12</v>
      </c>
      <c r="P27" s="292">
        <f>'t3'!L25</f>
        <v>0</v>
      </c>
      <c r="Q27" s="293">
        <f>'t3'!N25</f>
        <v>0</v>
      </c>
      <c r="R27" s="293">
        <f>'t3'!P25</f>
        <v>0</v>
      </c>
      <c r="S27" s="293">
        <f>'t3'!D25</f>
        <v>0</v>
      </c>
      <c r="T27" s="293">
        <f>'t3'!F25</f>
        <v>0</v>
      </c>
      <c r="U27" s="293">
        <f>'t3'!H25</f>
        <v>0</v>
      </c>
      <c r="V27" s="293">
        <f>'t3'!J25</f>
        <v>0</v>
      </c>
      <c r="W27" s="293">
        <f t="shared" si="3"/>
        <v>12</v>
      </c>
      <c r="X27" s="293">
        <f>'t10'!AV25</f>
        <v>12</v>
      </c>
      <c r="Y27" s="598" t="str">
        <f t="shared" si="4"/>
        <v>OK</v>
      </c>
      <c r="Z27" s="163" t="str">
        <f t="shared" si="5"/>
        <v>OK</v>
      </c>
    </row>
    <row r="28" spans="1:26" ht="14.1" customHeight="1" x14ac:dyDescent="0.2">
      <c r="A28" s="112" t="str">
        <f>'t1'!A26</f>
        <v>POS. EC. B2-GUARDIA  FORESTALE</v>
      </c>
      <c r="B28" s="158" t="str">
        <f>'t1'!B26</f>
        <v>032561</v>
      </c>
      <c r="C28" s="292">
        <f>'t1'!K26</f>
        <v>14</v>
      </c>
      <c r="D28" s="292">
        <f>'t3'!K26</f>
        <v>0</v>
      </c>
      <c r="E28" s="293">
        <f>'t3'!M26</f>
        <v>0</v>
      </c>
      <c r="F28" s="293">
        <f>'t3'!O26</f>
        <v>0</v>
      </c>
      <c r="G28" s="293">
        <f>'t3'!C26</f>
        <v>0</v>
      </c>
      <c r="H28" s="293">
        <f>'t3'!E26</f>
        <v>0</v>
      </c>
      <c r="I28" s="293">
        <f>'t3'!G26</f>
        <v>0</v>
      </c>
      <c r="J28" s="293">
        <f>'t3'!I26</f>
        <v>0</v>
      </c>
      <c r="K28" s="293">
        <f t="shared" si="0"/>
        <v>14</v>
      </c>
      <c r="L28" s="293">
        <f>'t10'!AU26</f>
        <v>14</v>
      </c>
      <c r="M28" s="598" t="str">
        <f t="shared" si="1"/>
        <v>OK</v>
      </c>
      <c r="N28" s="86" t="str">
        <f t="shared" ref="N28:N35" si="6">IF(K28=L28,"OK","ERRORE")</f>
        <v>OK</v>
      </c>
      <c r="O28" s="292">
        <f>'t1'!L26</f>
        <v>10</v>
      </c>
      <c r="P28" s="292">
        <f>'t3'!L26</f>
        <v>0</v>
      </c>
      <c r="Q28" s="293">
        <f>'t3'!N26</f>
        <v>0</v>
      </c>
      <c r="R28" s="293">
        <f>'t3'!P26</f>
        <v>0</v>
      </c>
      <c r="S28" s="293">
        <f>'t3'!D26</f>
        <v>0</v>
      </c>
      <c r="T28" s="293">
        <f>'t3'!F26</f>
        <v>0</v>
      </c>
      <c r="U28" s="293">
        <f>'t3'!H26</f>
        <v>0</v>
      </c>
      <c r="V28" s="293">
        <f>'t3'!J26</f>
        <v>0</v>
      </c>
      <c r="W28" s="293">
        <f t="shared" si="3"/>
        <v>10</v>
      </c>
      <c r="X28" s="293">
        <f>'t10'!AV26</f>
        <v>10</v>
      </c>
      <c r="Y28" s="598" t="str">
        <f t="shared" si="4"/>
        <v>OK</v>
      </c>
      <c r="Z28" s="163" t="str">
        <f t="shared" ref="Z28:Z35" si="7">IF(W28=X28,"OK","ERRORE")</f>
        <v>OK</v>
      </c>
    </row>
    <row r="29" spans="1:26" ht="14.1" customHeight="1" x14ac:dyDescent="0.2">
      <c r="A29" s="112" t="str">
        <f>'t1'!A27</f>
        <v>POSIZIONE ECONOMICA B1 - FORESTALE</v>
      </c>
      <c r="B29" s="158" t="str">
        <f>'t1'!B27</f>
        <v>030FOR</v>
      </c>
      <c r="C29" s="292">
        <f>'t1'!K27</f>
        <v>0</v>
      </c>
      <c r="D29" s="292">
        <f>'t3'!K27</f>
        <v>0</v>
      </c>
      <c r="E29" s="293">
        <f>'t3'!M27</f>
        <v>0</v>
      </c>
      <c r="F29" s="293">
        <f>'t3'!O27</f>
        <v>0</v>
      </c>
      <c r="G29" s="293">
        <f>'t3'!C27</f>
        <v>0</v>
      </c>
      <c r="H29" s="293">
        <f>'t3'!E27</f>
        <v>0</v>
      </c>
      <c r="I29" s="293">
        <f>'t3'!G27</f>
        <v>0</v>
      </c>
      <c r="J29" s="293">
        <f>'t3'!I27</f>
        <v>0</v>
      </c>
      <c r="K29" s="293">
        <f t="shared" si="0"/>
        <v>0</v>
      </c>
      <c r="L29" s="293">
        <f>'t10'!AU27</f>
        <v>0</v>
      </c>
      <c r="M29" s="598" t="str">
        <f t="shared" si="1"/>
        <v>OK</v>
      </c>
      <c r="N29" s="86" t="str">
        <f t="shared" si="6"/>
        <v>OK</v>
      </c>
      <c r="O29" s="292">
        <f>'t1'!L27</f>
        <v>0</v>
      </c>
      <c r="P29" s="292">
        <f>'t3'!L27</f>
        <v>0</v>
      </c>
      <c r="Q29" s="293">
        <f>'t3'!N27</f>
        <v>0</v>
      </c>
      <c r="R29" s="293">
        <f>'t3'!P27</f>
        <v>0</v>
      </c>
      <c r="S29" s="293">
        <f>'t3'!D27</f>
        <v>0</v>
      </c>
      <c r="T29" s="293">
        <f>'t3'!F27</f>
        <v>0</v>
      </c>
      <c r="U29" s="293">
        <f>'t3'!H27</f>
        <v>0</v>
      </c>
      <c r="V29" s="293">
        <f>'t3'!J27</f>
        <v>0</v>
      </c>
      <c r="W29" s="293">
        <f t="shared" si="3"/>
        <v>0</v>
      </c>
      <c r="X29" s="293">
        <f>'t10'!AV27</f>
        <v>0</v>
      </c>
      <c r="Y29" s="598" t="str">
        <f t="shared" si="4"/>
        <v>OK</v>
      </c>
      <c r="Z29" s="163" t="str">
        <f t="shared" si="7"/>
        <v>OK</v>
      </c>
    </row>
    <row r="30" spans="1:26" ht="14.1" customHeight="1" x14ac:dyDescent="0.2">
      <c r="A30" s="112" t="str">
        <f>'t1'!A28</f>
        <v>POSIZIONE ECONOMICA B3  VIGILE DEL FUOCO &gt; 5 ANNI</v>
      </c>
      <c r="B30" s="158" t="str">
        <f>'t1'!B28</f>
        <v>034VF5</v>
      </c>
      <c r="C30" s="292">
        <f>'t1'!K28</f>
        <v>99</v>
      </c>
      <c r="D30" s="292">
        <f>'t3'!K28</f>
        <v>0</v>
      </c>
      <c r="E30" s="293">
        <f>'t3'!M28</f>
        <v>0</v>
      </c>
      <c r="F30" s="293">
        <f>'t3'!O28</f>
        <v>0</v>
      </c>
      <c r="G30" s="293">
        <f>'t3'!C28</f>
        <v>0</v>
      </c>
      <c r="H30" s="293">
        <f>'t3'!E28</f>
        <v>0</v>
      </c>
      <c r="I30" s="293">
        <f>'t3'!G28</f>
        <v>0</v>
      </c>
      <c r="J30" s="293">
        <f>'t3'!I28</f>
        <v>0</v>
      </c>
      <c r="K30" s="293">
        <f t="shared" si="0"/>
        <v>99</v>
      </c>
      <c r="L30" s="293">
        <f>'t10'!AU28</f>
        <v>99</v>
      </c>
      <c r="M30" s="598" t="str">
        <f t="shared" si="1"/>
        <v>OK</v>
      </c>
      <c r="N30" s="86" t="str">
        <f t="shared" si="6"/>
        <v>OK</v>
      </c>
      <c r="O30" s="292">
        <f>'t1'!L28</f>
        <v>0</v>
      </c>
      <c r="P30" s="292">
        <f>'t3'!L28</f>
        <v>0</v>
      </c>
      <c r="Q30" s="293">
        <f>'t3'!N28</f>
        <v>0</v>
      </c>
      <c r="R30" s="293">
        <f>'t3'!P28</f>
        <v>0</v>
      </c>
      <c r="S30" s="293">
        <f>'t3'!D28</f>
        <v>0</v>
      </c>
      <c r="T30" s="293">
        <f>'t3'!F28</f>
        <v>0</v>
      </c>
      <c r="U30" s="293">
        <f>'t3'!H28</f>
        <v>0</v>
      </c>
      <c r="V30" s="293">
        <f>'t3'!J28</f>
        <v>0</v>
      </c>
      <c r="W30" s="293">
        <f t="shared" si="3"/>
        <v>0</v>
      </c>
      <c r="X30" s="293">
        <f>'t10'!AV28</f>
        <v>0</v>
      </c>
      <c r="Y30" s="598" t="str">
        <f t="shared" si="4"/>
        <v>OK</v>
      </c>
      <c r="Z30" s="163" t="str">
        <f t="shared" si="7"/>
        <v>OK</v>
      </c>
    </row>
    <row r="31" spans="1:26" ht="14.1" customHeight="1" x14ac:dyDescent="0.2">
      <c r="A31" s="112" t="str">
        <f>'t1'!A29</f>
        <v>POSIZIONE ECONOMICA B2  VIGILE DEL FUOCO</v>
      </c>
      <c r="B31" s="158" t="str">
        <f>'t1'!B29</f>
        <v>032VF1</v>
      </c>
      <c r="C31" s="292">
        <f>'t1'!K29</f>
        <v>19</v>
      </c>
      <c r="D31" s="292">
        <f>'t3'!K29</f>
        <v>0</v>
      </c>
      <c r="E31" s="293">
        <f>'t3'!M29</f>
        <v>0</v>
      </c>
      <c r="F31" s="293">
        <f>'t3'!O29</f>
        <v>0</v>
      </c>
      <c r="G31" s="293">
        <f>'t3'!C29</f>
        <v>0</v>
      </c>
      <c r="H31" s="293">
        <f>'t3'!E29</f>
        <v>0</v>
      </c>
      <c r="I31" s="293">
        <f>'t3'!G29</f>
        <v>0</v>
      </c>
      <c r="J31" s="293">
        <f>'t3'!I29</f>
        <v>0</v>
      </c>
      <c r="K31" s="293">
        <f t="shared" si="0"/>
        <v>19</v>
      </c>
      <c r="L31" s="293">
        <f>'t10'!AU29</f>
        <v>19</v>
      </c>
      <c r="M31" s="598" t="str">
        <f t="shared" si="1"/>
        <v>OK</v>
      </c>
      <c r="N31" s="86" t="str">
        <f t="shared" si="6"/>
        <v>OK</v>
      </c>
      <c r="O31" s="292">
        <f>'t1'!L29</f>
        <v>0</v>
      </c>
      <c r="P31" s="292">
        <f>'t3'!L29</f>
        <v>0</v>
      </c>
      <c r="Q31" s="293">
        <f>'t3'!N29</f>
        <v>0</v>
      </c>
      <c r="R31" s="293">
        <f>'t3'!P29</f>
        <v>0</v>
      </c>
      <c r="S31" s="293">
        <f>'t3'!D29</f>
        <v>0</v>
      </c>
      <c r="T31" s="293">
        <f>'t3'!F29</f>
        <v>0</v>
      </c>
      <c r="U31" s="293">
        <f>'t3'!H29</f>
        <v>0</v>
      </c>
      <c r="V31" s="293">
        <f>'t3'!J29</f>
        <v>0</v>
      </c>
      <c r="W31" s="293">
        <f t="shared" si="3"/>
        <v>0</v>
      </c>
      <c r="X31" s="293">
        <f>'t10'!AV29</f>
        <v>0</v>
      </c>
      <c r="Y31" s="598" t="str">
        <f t="shared" si="4"/>
        <v>OK</v>
      </c>
      <c r="Z31" s="163" t="str">
        <f t="shared" si="7"/>
        <v>OK</v>
      </c>
    </row>
    <row r="32" spans="1:26" ht="14.1" customHeight="1" x14ac:dyDescent="0.2">
      <c r="A32" s="112" t="str">
        <f>'t1'!A30</f>
        <v>POSIZIONE ECONOMICA A</v>
      </c>
      <c r="B32" s="158" t="str">
        <f>'t1'!B30</f>
        <v>022000</v>
      </c>
      <c r="C32" s="292">
        <f>'t1'!K30</f>
        <v>40</v>
      </c>
      <c r="D32" s="292">
        <f>'t3'!K30</f>
        <v>0</v>
      </c>
      <c r="E32" s="293">
        <f>'t3'!M30</f>
        <v>0</v>
      </c>
      <c r="F32" s="293">
        <f>'t3'!O30</f>
        <v>0</v>
      </c>
      <c r="G32" s="293">
        <f>'t3'!C30</f>
        <v>0</v>
      </c>
      <c r="H32" s="293">
        <f>'t3'!E30</f>
        <v>0</v>
      </c>
      <c r="I32" s="293">
        <f>'t3'!G30</f>
        <v>0</v>
      </c>
      <c r="J32" s="293">
        <f>'t3'!I30</f>
        <v>0</v>
      </c>
      <c r="K32" s="293">
        <f t="shared" si="0"/>
        <v>40</v>
      </c>
      <c r="L32" s="293">
        <f>'t10'!AU30</f>
        <v>40</v>
      </c>
      <c r="M32" s="598" t="str">
        <f t="shared" si="1"/>
        <v>OK</v>
      </c>
      <c r="N32" s="86" t="str">
        <f t="shared" si="6"/>
        <v>OK</v>
      </c>
      <c r="O32" s="292">
        <f>'t1'!L30</f>
        <v>180</v>
      </c>
      <c r="P32" s="292">
        <f>'t3'!L30</f>
        <v>0</v>
      </c>
      <c r="Q32" s="293">
        <f>'t3'!N30</f>
        <v>0</v>
      </c>
      <c r="R32" s="293">
        <f>'t3'!P30</f>
        <v>0</v>
      </c>
      <c r="S32" s="293">
        <f>'t3'!D30</f>
        <v>0</v>
      </c>
      <c r="T32" s="293">
        <f>'t3'!F30</f>
        <v>0</v>
      </c>
      <c r="U32" s="293">
        <f>'t3'!H30</f>
        <v>0</v>
      </c>
      <c r="V32" s="293">
        <f>'t3'!J30</f>
        <v>0</v>
      </c>
      <c r="W32" s="293">
        <f t="shared" si="3"/>
        <v>180</v>
      </c>
      <c r="X32" s="293">
        <f>'t10'!AV30</f>
        <v>180</v>
      </c>
      <c r="Y32" s="598" t="str">
        <f t="shared" si="4"/>
        <v>OK</v>
      </c>
      <c r="Z32" s="163" t="str">
        <f t="shared" si="7"/>
        <v>OK</v>
      </c>
    </row>
    <row r="33" spans="1:26" ht="14.1" customHeight="1" x14ac:dyDescent="0.2">
      <c r="A33" s="112" t="str">
        <f>'t1'!A31</f>
        <v>CONTRATTISTI</v>
      </c>
      <c r="B33" s="158" t="str">
        <f>'t1'!B31</f>
        <v>000061</v>
      </c>
      <c r="C33" s="292">
        <f>'t1'!K31</f>
        <v>97</v>
      </c>
      <c r="D33" s="292">
        <f>'t3'!K31</f>
        <v>0</v>
      </c>
      <c r="E33" s="293">
        <f>'t3'!M31</f>
        <v>0</v>
      </c>
      <c r="F33" s="293">
        <f>'t3'!O31</f>
        <v>0</v>
      </c>
      <c r="G33" s="293">
        <f>'t3'!C31</f>
        <v>0</v>
      </c>
      <c r="H33" s="293">
        <f>'t3'!E31</f>
        <v>0</v>
      </c>
      <c r="I33" s="293">
        <f>'t3'!G31</f>
        <v>0</v>
      </c>
      <c r="J33" s="293">
        <f>'t3'!I31</f>
        <v>0</v>
      </c>
      <c r="K33" s="293">
        <f t="shared" si="0"/>
        <v>97</v>
      </c>
      <c r="L33" s="293">
        <f>'t10'!AU31</f>
        <v>97</v>
      </c>
      <c r="M33" s="598" t="str">
        <f t="shared" si="1"/>
        <v>OK</v>
      </c>
      <c r="N33" s="86" t="str">
        <f t="shared" si="6"/>
        <v>OK</v>
      </c>
      <c r="O33" s="292">
        <f>'t1'!L31</f>
        <v>31</v>
      </c>
      <c r="P33" s="292">
        <f>'t3'!L31</f>
        <v>0</v>
      </c>
      <c r="Q33" s="293">
        <f>'t3'!N31</f>
        <v>0</v>
      </c>
      <c r="R33" s="293">
        <f>'t3'!P31</f>
        <v>0</v>
      </c>
      <c r="S33" s="293">
        <f>'t3'!D31</f>
        <v>0</v>
      </c>
      <c r="T33" s="293">
        <f>'t3'!F31</f>
        <v>0</v>
      </c>
      <c r="U33" s="293">
        <f>'t3'!H31</f>
        <v>0</v>
      </c>
      <c r="V33" s="293">
        <f>'t3'!J31</f>
        <v>0</v>
      </c>
      <c r="W33" s="293">
        <f t="shared" si="3"/>
        <v>31</v>
      </c>
      <c r="X33" s="293">
        <f>'t10'!AV31</f>
        <v>31</v>
      </c>
      <c r="Y33" s="598" t="str">
        <f t="shared" si="4"/>
        <v>OK</v>
      </c>
      <c r="Z33" s="163" t="str">
        <f t="shared" si="7"/>
        <v>OK</v>
      </c>
    </row>
    <row r="34" spans="1:26" ht="14.1" customHeight="1" x14ac:dyDescent="0.2">
      <c r="A34" s="112" t="str">
        <f>'t1'!A32</f>
        <v>SEGRETARIO GENERALE CCIAA</v>
      </c>
      <c r="B34" s="158" t="str">
        <f>'t1'!B32</f>
        <v>0D0104</v>
      </c>
      <c r="C34" s="292">
        <f>'t1'!K32</f>
        <v>0</v>
      </c>
      <c r="D34" s="292">
        <f>'t3'!K32</f>
        <v>0</v>
      </c>
      <c r="E34" s="293">
        <f>'t3'!M32</f>
        <v>0</v>
      </c>
      <c r="F34" s="293">
        <f>'t3'!O32</f>
        <v>0</v>
      </c>
      <c r="G34" s="293">
        <f>'t3'!C32</f>
        <v>0</v>
      </c>
      <c r="H34" s="293">
        <f>'t3'!E32</f>
        <v>0</v>
      </c>
      <c r="I34" s="293">
        <f>'t3'!G32</f>
        <v>0</v>
      </c>
      <c r="J34" s="293">
        <f>'t3'!I32</f>
        <v>0</v>
      </c>
      <c r="K34" s="293">
        <f t="shared" si="0"/>
        <v>0</v>
      </c>
      <c r="L34" s="293">
        <f>'t10'!AU32</f>
        <v>0</v>
      </c>
      <c r="M34" s="598" t="str">
        <f t="shared" si="1"/>
        <v>OK</v>
      </c>
      <c r="N34" s="86" t="str">
        <f t="shared" si="6"/>
        <v>OK</v>
      </c>
      <c r="O34" s="292">
        <f>'t1'!L32</f>
        <v>0</v>
      </c>
      <c r="P34" s="292">
        <f>'t3'!L32</f>
        <v>0</v>
      </c>
      <c r="Q34" s="293">
        <f>'t3'!N32</f>
        <v>0</v>
      </c>
      <c r="R34" s="293">
        <f>'t3'!P32</f>
        <v>0</v>
      </c>
      <c r="S34" s="293">
        <f>'t3'!D32</f>
        <v>0</v>
      </c>
      <c r="T34" s="293">
        <f>'t3'!F32</f>
        <v>0</v>
      </c>
      <c r="U34" s="293">
        <f>'t3'!H32</f>
        <v>0</v>
      </c>
      <c r="V34" s="293">
        <f>'t3'!J32</f>
        <v>0</v>
      </c>
      <c r="W34" s="293">
        <f t="shared" si="3"/>
        <v>0</v>
      </c>
      <c r="X34" s="293">
        <f>'t10'!AV32</f>
        <v>0</v>
      </c>
      <c r="Y34" s="598" t="str">
        <f t="shared" si="4"/>
        <v>OK</v>
      </c>
      <c r="Z34" s="163" t="str">
        <f t="shared" si="7"/>
        <v>OK</v>
      </c>
    </row>
    <row r="35" spans="1:26" ht="14.1" customHeight="1" x14ac:dyDescent="0.2">
      <c r="A35" s="112" t="str">
        <f>'t1'!A33</f>
        <v>COLLABORATORE A TEMPO DETERMINATO</v>
      </c>
      <c r="B35" s="158" t="str">
        <f>'t1'!B33</f>
        <v>000096</v>
      </c>
      <c r="C35" s="292">
        <f>'t1'!K33</f>
        <v>5</v>
      </c>
      <c r="D35" s="292">
        <f>'t3'!K33</f>
        <v>0</v>
      </c>
      <c r="E35" s="293">
        <f>'t3'!M33</f>
        <v>0</v>
      </c>
      <c r="F35" s="293">
        <f>'t3'!O33</f>
        <v>0</v>
      </c>
      <c r="G35" s="293">
        <f>'t3'!C33</f>
        <v>0</v>
      </c>
      <c r="H35" s="293">
        <f>'t3'!E33</f>
        <v>0</v>
      </c>
      <c r="I35" s="293">
        <f>'t3'!G33</f>
        <v>0</v>
      </c>
      <c r="J35" s="293">
        <f>'t3'!I33</f>
        <v>0</v>
      </c>
      <c r="K35" s="293">
        <f t="shared" si="0"/>
        <v>5</v>
      </c>
      <c r="L35" s="293">
        <f>'t10'!AU33</f>
        <v>5</v>
      </c>
      <c r="M35" s="598" t="str">
        <f t="shared" si="1"/>
        <v>OK</v>
      </c>
      <c r="N35" s="86" t="str">
        <f t="shared" si="6"/>
        <v>OK</v>
      </c>
      <c r="O35" s="292">
        <f>'t1'!L33</f>
        <v>6</v>
      </c>
      <c r="P35" s="292">
        <f>'t3'!L33</f>
        <v>0</v>
      </c>
      <c r="Q35" s="293">
        <f>'t3'!N33</f>
        <v>0</v>
      </c>
      <c r="R35" s="293">
        <f>'t3'!P33</f>
        <v>0</v>
      </c>
      <c r="S35" s="293">
        <f>'t3'!D33</f>
        <v>0</v>
      </c>
      <c r="T35" s="293">
        <f>'t3'!F33</f>
        <v>0</v>
      </c>
      <c r="U35" s="293">
        <f>'t3'!H33</f>
        <v>0</v>
      </c>
      <c r="V35" s="293">
        <f>'t3'!J33</f>
        <v>0</v>
      </c>
      <c r="W35" s="293">
        <f t="shared" si="3"/>
        <v>6</v>
      </c>
      <c r="X35" s="293">
        <f>'t10'!AV33</f>
        <v>6</v>
      </c>
      <c r="Y35" s="598" t="str">
        <f t="shared" si="4"/>
        <v>OK</v>
      </c>
      <c r="Z35" s="163" t="str">
        <f t="shared" si="7"/>
        <v>OK</v>
      </c>
    </row>
    <row r="36" spans="1:26" ht="15.75" customHeight="1" x14ac:dyDescent="0.2">
      <c r="A36" s="112" t="str">
        <f>'t1'!A34</f>
        <v>TOTALE</v>
      </c>
      <c r="B36" s="149"/>
      <c r="C36" s="292">
        <f t="shared" ref="C36:J36" si="8">SUM(C8:C35)</f>
        <v>1104</v>
      </c>
      <c r="D36" s="292">
        <f t="shared" si="8"/>
        <v>0</v>
      </c>
      <c r="E36" s="292">
        <f t="shared" si="8"/>
        <v>0</v>
      </c>
      <c r="F36" s="292">
        <f t="shared" si="8"/>
        <v>0</v>
      </c>
      <c r="G36" s="292">
        <f t="shared" si="8"/>
        <v>2</v>
      </c>
      <c r="H36" s="292">
        <f t="shared" si="8"/>
        <v>0</v>
      </c>
      <c r="I36" s="292">
        <f t="shared" si="8"/>
        <v>0</v>
      </c>
      <c r="J36" s="292">
        <f t="shared" si="8"/>
        <v>0</v>
      </c>
      <c r="K36" s="293">
        <f t="shared" si="0"/>
        <v>1102</v>
      </c>
      <c r="L36" s="292">
        <f>SUM(L8:L35)</f>
        <v>1102</v>
      </c>
      <c r="M36" s="598" t="str">
        <f t="shared" si="1"/>
        <v>OK</v>
      </c>
      <c r="N36" s="86" t="str">
        <f t="shared" si="2"/>
        <v>OK</v>
      </c>
      <c r="O36" s="292">
        <f t="shared" ref="O36:V36" si="9">SUM(O8:O35)</f>
        <v>1459</v>
      </c>
      <c r="P36" s="292">
        <f t="shared" si="9"/>
        <v>0</v>
      </c>
      <c r="Q36" s="292">
        <f t="shared" si="9"/>
        <v>0</v>
      </c>
      <c r="R36" s="292">
        <f t="shared" si="9"/>
        <v>0</v>
      </c>
      <c r="S36" s="292">
        <f t="shared" si="9"/>
        <v>12</v>
      </c>
      <c r="T36" s="292">
        <f t="shared" si="9"/>
        <v>0</v>
      </c>
      <c r="U36" s="292">
        <f t="shared" si="9"/>
        <v>0</v>
      </c>
      <c r="V36" s="292">
        <f t="shared" si="9"/>
        <v>0</v>
      </c>
      <c r="W36" s="293">
        <f t="shared" si="3"/>
        <v>1447</v>
      </c>
      <c r="X36" s="292">
        <f>SUM(X8:X35)</f>
        <v>1447</v>
      </c>
      <c r="Y36" s="598" t="str">
        <f t="shared" si="4"/>
        <v>OK</v>
      </c>
      <c r="Z36" s="163" t="str">
        <f t="shared" si="5"/>
        <v>OK</v>
      </c>
    </row>
  </sheetData>
  <sheetProtection password="DD41" sheet="1" formatColumns="0" selectLockedCells="1" selectUnlockedCells="1"/>
  <mergeCells count="4">
    <mergeCell ref="O5:Z5"/>
    <mergeCell ref="C5:N5"/>
    <mergeCell ref="A1:W1"/>
    <mergeCell ref="A2:L2"/>
  </mergeCells>
  <phoneticPr fontId="30" type="noConversion"/>
  <printOptions horizontalCentered="1" verticalCentered="1"/>
  <pageMargins left="0.2" right="0" top="0.17" bottom="0.16" header="0.18" footer="0.2"/>
  <pageSetup paperSize="9" scale="52" orientation="landscape" horizontalDpi="300" verticalDpi="4294967292"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47">
    <pageSetUpPr fitToPage="1"/>
  </sheetPr>
  <dimension ref="A1:N252"/>
  <sheetViews>
    <sheetView zoomScale="75" zoomScaleNormal="75" workbookViewId="0">
      <selection activeCell="F18" sqref="F18"/>
    </sheetView>
  </sheetViews>
  <sheetFormatPr defaultColWidth="12.6640625" defaultRowHeight="15" x14ac:dyDescent="0.15"/>
  <cols>
    <col min="1" max="1" width="6.6640625" style="511" customWidth="1"/>
    <col min="2" max="2" width="25.6640625" style="512" customWidth="1"/>
    <col min="3" max="3" width="5.5" style="512" customWidth="1"/>
    <col min="4" max="4" width="56.1640625" style="512" customWidth="1"/>
    <col min="5" max="5" width="22.5" style="512" customWidth="1"/>
    <col min="6" max="6" width="23.1640625" style="512" customWidth="1"/>
    <col min="7" max="7" width="21.5" style="512" customWidth="1"/>
    <col min="8" max="8" width="97" style="666" customWidth="1"/>
    <col min="9" max="9" width="5" style="481" hidden="1" customWidth="1"/>
    <col min="10" max="10" width="8.5" style="480" hidden="1" customWidth="1"/>
    <col min="11" max="11" width="6.5" style="480" hidden="1" customWidth="1"/>
    <col min="12" max="14" width="12.6640625" style="480" hidden="1" customWidth="1"/>
    <col min="15" max="16384" width="12.6640625" style="480"/>
  </cols>
  <sheetData>
    <row r="1" spans="1:14" ht="62.25" customHeight="1" x14ac:dyDescent="0.15">
      <c r="H1" s="672" t="s">
        <v>332</v>
      </c>
      <c r="I1" s="454"/>
    </row>
    <row r="2" spans="1:14" ht="26.25" customHeight="1" thickBot="1" x14ac:dyDescent="0.2">
      <c r="A2" s="513"/>
      <c r="B2" s="514"/>
      <c r="C2" s="514"/>
      <c r="D2" s="452" t="str">
        <f>'t1'!A1</f>
        <v>REGIONE VALLE D'AOSTA - anno 2024</v>
      </c>
      <c r="E2" s="514"/>
      <c r="F2" s="514"/>
      <c r="G2" s="514"/>
      <c r="H2" s="673"/>
      <c r="I2" s="454"/>
    </row>
    <row r="3" spans="1:14" x14ac:dyDescent="0.15">
      <c r="B3" s="446"/>
      <c r="C3" s="446"/>
      <c r="D3" s="446"/>
      <c r="E3" s="446"/>
      <c r="F3" s="446"/>
      <c r="G3" s="446"/>
      <c r="H3" s="663"/>
      <c r="I3" s="454"/>
    </row>
    <row r="4" spans="1:14" hidden="1" x14ac:dyDescent="0.15">
      <c r="B4" s="448"/>
      <c r="C4" s="449"/>
      <c r="D4" s="448"/>
      <c r="E4" s="448"/>
      <c r="F4" s="455" t="s">
        <v>66</v>
      </c>
      <c r="G4" s="448"/>
      <c r="H4" s="663"/>
      <c r="I4" s="454"/>
    </row>
    <row r="5" spans="1:14" hidden="1" x14ac:dyDescent="0.15">
      <c r="B5" s="448"/>
      <c r="C5" s="449"/>
      <c r="D5" s="448"/>
      <c r="E5" s="448"/>
      <c r="F5" s="1268"/>
      <c r="G5" s="448"/>
      <c r="H5" s="663"/>
      <c r="I5" s="454"/>
    </row>
    <row r="6" spans="1:14" ht="17.25" hidden="1" customHeight="1" x14ac:dyDescent="0.15">
      <c r="A6" s="511" t="s">
        <v>294</v>
      </c>
      <c r="B6" s="450" t="s">
        <v>339</v>
      </c>
      <c r="C6" s="1269"/>
      <c r="F6" s="457"/>
      <c r="H6" s="663"/>
      <c r="I6" s="454"/>
    </row>
    <row r="7" spans="1:14" ht="17.25" hidden="1" customHeight="1" x14ac:dyDescent="0.15">
      <c r="B7" s="448"/>
      <c r="C7" s="449"/>
      <c r="D7" s="448"/>
      <c r="E7" s="448"/>
      <c r="F7" s="448"/>
      <c r="G7" s="448"/>
      <c r="H7" s="663"/>
      <c r="I7" s="454"/>
    </row>
    <row r="8" spans="1:14" ht="15" hidden="1" customHeight="1" x14ac:dyDescent="0.25">
      <c r="A8" s="511" t="s">
        <v>295</v>
      </c>
      <c r="B8" s="456" t="s">
        <v>340</v>
      </c>
      <c r="C8" s="449"/>
      <c r="D8" s="448"/>
      <c r="E8" s="448"/>
      <c r="F8" s="457"/>
      <c r="G8" s="448"/>
      <c r="H8" s="663"/>
      <c r="I8" s="454"/>
    </row>
    <row r="9" spans="1:14" ht="15" hidden="1" customHeight="1" x14ac:dyDescent="0.2">
      <c r="B9" s="1270"/>
      <c r="C9" s="449"/>
      <c r="D9" s="448"/>
      <c r="E9" s="448"/>
      <c r="F9" s="448"/>
      <c r="G9" s="448"/>
      <c r="H9" s="663"/>
      <c r="I9" s="454"/>
    </row>
    <row r="10" spans="1:14" ht="17.25" customHeight="1" x14ac:dyDescent="0.15">
      <c r="B10" s="448"/>
      <c r="C10" s="449"/>
      <c r="D10" s="448"/>
      <c r="E10" s="448"/>
      <c r="F10" s="455" t="s">
        <v>271</v>
      </c>
      <c r="G10" s="455" t="s">
        <v>272</v>
      </c>
      <c r="H10" s="663"/>
      <c r="I10" s="454"/>
    </row>
    <row r="11" spans="1:14" ht="20.25" customHeight="1" x14ac:dyDescent="0.15">
      <c r="A11" s="511" t="s">
        <v>301</v>
      </c>
      <c r="B11" s="451" t="s">
        <v>338</v>
      </c>
      <c r="C11" s="449"/>
      <c r="D11" s="448"/>
      <c r="E11" s="448"/>
      <c r="F11" s="431"/>
      <c r="G11" s="431"/>
      <c r="H11" s="568" t="str">
        <f>IF(I11=0,"RISPOSTA OBBLIGATORIA","")</f>
        <v>RISPOSTA OBBLIGATORIA</v>
      </c>
      <c r="I11" s="454">
        <v>0</v>
      </c>
      <c r="J11" s="480" t="str">
        <f>IF(I11=1,"VERO",IF(I11=2,"FALSO",""))</f>
        <v/>
      </c>
      <c r="N11" s="1271"/>
    </row>
    <row r="12" spans="1:14" ht="15" customHeight="1" x14ac:dyDescent="0.15">
      <c r="A12" s="1272"/>
      <c r="B12" s="1272"/>
      <c r="C12" s="1272"/>
      <c r="D12" s="1272"/>
      <c r="E12" s="1272"/>
      <c r="F12" s="1272"/>
      <c r="G12" s="1272"/>
      <c r="H12" s="1273"/>
      <c r="I12" s="405"/>
    </row>
    <row r="13" spans="1:14" ht="15" customHeight="1" x14ac:dyDescent="0.15">
      <c r="H13" s="663"/>
      <c r="I13" s="454"/>
    </row>
    <row r="14" spans="1:14" ht="20.25" hidden="1" customHeight="1" x14ac:dyDescent="0.15">
      <c r="B14" s="451"/>
      <c r="C14" s="448"/>
      <c r="D14" s="1272"/>
      <c r="E14" s="1272"/>
      <c r="H14" s="568"/>
      <c r="I14" s="454"/>
    </row>
    <row r="15" spans="1:14" ht="15" hidden="1" customHeight="1" x14ac:dyDescent="0.15">
      <c r="H15" s="663"/>
      <c r="I15" s="454"/>
    </row>
    <row r="16" spans="1:14" ht="20.25" hidden="1" customHeight="1" x14ac:dyDescent="0.25">
      <c r="B16" s="168"/>
      <c r="H16" s="568"/>
      <c r="I16" s="454"/>
      <c r="N16" s="1271"/>
    </row>
    <row r="17" spans="1:14" ht="15" hidden="1" customHeight="1" x14ac:dyDescent="0.15">
      <c r="H17" s="663"/>
      <c r="I17" s="454"/>
    </row>
    <row r="18" spans="1:14" ht="43.5" customHeight="1" x14ac:dyDescent="0.85">
      <c r="A18" s="511" t="s">
        <v>296</v>
      </c>
      <c r="B18" s="1401" t="s">
        <v>747</v>
      </c>
      <c r="C18" s="1402"/>
      <c r="D18" s="1402"/>
      <c r="E18" s="1402"/>
      <c r="F18" s="839" t="s">
        <v>675</v>
      </c>
      <c r="G18" s="840" t="str">
        <f>IF(I18=0,"←","")</f>
        <v>←</v>
      </c>
      <c r="H18" s="568" t="str">
        <f>IF(I18=0,"RISPOSTA OBBLIGATORIA - Cliccare sulla cella per selezionare la risposta","")</f>
        <v>RISPOSTA OBBLIGATORIA - Cliccare sulla cella per selezionare la risposta</v>
      </c>
      <c r="I18" s="793">
        <f>IF(F18="Sì",1,IF(F18="No",2,IF(F18="Non sono stati esternalizzati servizi ","X",0)))</f>
        <v>0</v>
      </c>
    </row>
    <row r="19" spans="1:14" ht="15" customHeight="1" x14ac:dyDescent="0.15">
      <c r="B19" s="843"/>
      <c r="C19" s="843"/>
      <c r="D19" s="843"/>
      <c r="E19" s="843"/>
      <c r="H19" s="663"/>
      <c r="I19" s="454"/>
    </row>
    <row r="20" spans="1:14" ht="43.5" customHeight="1" x14ac:dyDescent="0.15">
      <c r="A20" s="511" t="s">
        <v>297</v>
      </c>
      <c r="B20" s="1403" t="s">
        <v>1033</v>
      </c>
      <c r="C20" s="1402"/>
      <c r="D20" s="1402"/>
      <c r="E20" s="1402"/>
      <c r="F20" s="431"/>
      <c r="G20" s="431"/>
      <c r="H20" s="568" t="str">
        <f>IF(I20=0,"RISPOSTA OBBLIGATORIA","")</f>
        <v>RISPOSTA OBBLIGATORIA</v>
      </c>
      <c r="I20" s="454">
        <v>0</v>
      </c>
      <c r="J20" s="480" t="str">
        <f>IF(I20=1,"VERO",IF(I20=2,"FALSO",""))</f>
        <v/>
      </c>
      <c r="N20" s="1271"/>
    </row>
    <row r="21" spans="1:14" ht="15" customHeight="1" x14ac:dyDescent="0.15">
      <c r="B21" s="448"/>
      <c r="H21" s="663"/>
      <c r="I21" s="454"/>
    </row>
    <row r="22" spans="1:14" ht="31.5" customHeight="1" x14ac:dyDescent="0.25">
      <c r="A22" s="511" t="s">
        <v>300</v>
      </c>
      <c r="B22" s="1404" t="s">
        <v>995</v>
      </c>
      <c r="C22" s="1405"/>
      <c r="D22" s="1405"/>
      <c r="E22" s="1405"/>
      <c r="F22" s="431"/>
      <c r="G22" s="431"/>
      <c r="H22" s="568" t="str">
        <f>IF(I22=0,"RISPOSTA OBBLIGATORIA","")</f>
        <v>RISPOSTA OBBLIGATORIA</v>
      </c>
      <c r="I22" s="454">
        <v>0</v>
      </c>
      <c r="J22" s="480" t="str">
        <f>IF(I22=1,"VERO",IF(I22=2,"FALSO",""))</f>
        <v/>
      </c>
      <c r="N22" s="1271"/>
    </row>
    <row r="23" spans="1:14" ht="15" customHeight="1" x14ac:dyDescent="0.15">
      <c r="B23" s="448"/>
      <c r="H23" s="663"/>
      <c r="I23" s="454"/>
    </row>
    <row r="24" spans="1:14" ht="20.25" hidden="1" customHeight="1" x14ac:dyDescent="0.15">
      <c r="H24" s="663"/>
      <c r="I24"/>
      <c r="N24" s="1271"/>
    </row>
    <row r="25" spans="1:14" ht="15" hidden="1" customHeight="1" x14ac:dyDescent="0.15">
      <c r="H25" s="663"/>
      <c r="I25" s="454"/>
    </row>
    <row r="26" spans="1:14" ht="15" hidden="1" customHeight="1" x14ac:dyDescent="0.15">
      <c r="H26" s="663"/>
      <c r="I26" s="454"/>
    </row>
    <row r="27" spans="1:14" ht="15" hidden="1" customHeight="1" x14ac:dyDescent="0.15">
      <c r="H27" s="663"/>
      <c r="I27" s="454"/>
    </row>
    <row r="28" spans="1:14" ht="15" hidden="1" customHeight="1" x14ac:dyDescent="0.15">
      <c r="H28" s="663"/>
      <c r="I28" s="454"/>
    </row>
    <row r="29" spans="1:14" ht="15" hidden="1" customHeight="1" x14ac:dyDescent="0.15">
      <c r="H29" s="663"/>
      <c r="I29" s="454"/>
    </row>
    <row r="30" spans="1:14" ht="15" hidden="1" customHeight="1" x14ac:dyDescent="0.15">
      <c r="H30" s="663"/>
      <c r="I30" s="454"/>
    </row>
    <row r="31" spans="1:14" ht="15" customHeight="1" x14ac:dyDescent="0.15">
      <c r="F31" s="455" t="s">
        <v>271</v>
      </c>
      <c r="G31" s="455" t="s">
        <v>272</v>
      </c>
      <c r="H31" s="663"/>
      <c r="I31" s="454"/>
    </row>
    <row r="32" spans="1:14" ht="31.5" customHeight="1" x14ac:dyDescent="0.25">
      <c r="A32" s="511" t="s">
        <v>303</v>
      </c>
      <c r="B32" s="1434" t="s">
        <v>2</v>
      </c>
      <c r="C32" s="1434"/>
      <c r="D32" s="1434"/>
      <c r="E32" s="1435"/>
      <c r="F32" s="431"/>
      <c r="G32" s="431"/>
      <c r="H32" s="568" t="str">
        <f>IF(I32=0,"RISPOSTA OBBLIGATORIA","")</f>
        <v>RISPOSTA OBBLIGATORIA</v>
      </c>
      <c r="I32" s="454">
        <v>0</v>
      </c>
      <c r="J32" s="480" t="str">
        <f>IF(I32=1,"VERO",IF(I32=2,"FALSO",""))</f>
        <v/>
      </c>
      <c r="N32" s="1271"/>
    </row>
    <row r="33" spans="1:14" ht="15" customHeight="1" x14ac:dyDescent="0.15">
      <c r="H33" s="663"/>
      <c r="I33" s="454"/>
    </row>
    <row r="34" spans="1:14" ht="20.25" customHeight="1" x14ac:dyDescent="0.25">
      <c r="A34" s="511" t="s">
        <v>333</v>
      </c>
      <c r="B34" s="168" t="s">
        <v>361</v>
      </c>
      <c r="F34" s="431"/>
      <c r="G34" s="431"/>
      <c r="H34" s="568" t="str">
        <f>IF(I34=0,"RISPOSTA OBBLIGATORIA","")</f>
        <v>RISPOSTA OBBLIGATORIA</v>
      </c>
      <c r="I34" s="454">
        <v>0</v>
      </c>
      <c r="J34" s="480" t="str">
        <f>IF(I34=1,"VERO",IF(I34=2,"FALSO",""))</f>
        <v/>
      </c>
      <c r="N34" s="1271"/>
    </row>
    <row r="35" spans="1:14" ht="15" customHeight="1" x14ac:dyDescent="0.15">
      <c r="H35" s="663"/>
      <c r="I35" s="454"/>
    </row>
    <row r="36" spans="1:14" ht="15" hidden="1" customHeight="1" x14ac:dyDescent="0.15">
      <c r="B36" s="843"/>
      <c r="C36" s="843"/>
      <c r="D36" s="843"/>
      <c r="E36" s="843"/>
      <c r="F36" s="1284"/>
      <c r="G36" s="843"/>
      <c r="H36" s="1285"/>
      <c r="I36" s="454"/>
    </row>
    <row r="37" spans="1:14" ht="33" hidden="1" customHeight="1" x14ac:dyDescent="0.15">
      <c r="A37" s="511" t="s">
        <v>351</v>
      </c>
      <c r="B37" s="1390"/>
      <c r="C37" s="1402"/>
      <c r="D37" s="1402"/>
      <c r="E37" s="1436"/>
      <c r="F37" s="856"/>
      <c r="G37" s="1406"/>
      <c r="H37" s="1410"/>
      <c r="I37" s="454"/>
    </row>
    <row r="38" spans="1:14" ht="15" hidden="1" customHeight="1" x14ac:dyDescent="0.15">
      <c r="H38" s="663"/>
      <c r="I38" s="454"/>
    </row>
    <row r="39" spans="1:14" ht="15" customHeight="1" x14ac:dyDescent="0.15">
      <c r="F39" s="455" t="s">
        <v>65</v>
      </c>
      <c r="H39" s="663"/>
      <c r="I39" s="454"/>
    </row>
    <row r="40" spans="1:14" ht="15" hidden="1" customHeight="1" x14ac:dyDescent="0.15">
      <c r="B40" s="450"/>
      <c r="C40" s="1269"/>
      <c r="F40" s="457"/>
      <c r="H40" s="663"/>
      <c r="I40" s="454"/>
    </row>
    <row r="41" spans="1:14" ht="15" hidden="1" customHeight="1" x14ac:dyDescent="0.15">
      <c r="H41" s="663"/>
      <c r="I41" s="454"/>
    </row>
    <row r="42" spans="1:14" ht="15" hidden="1" customHeight="1" x14ac:dyDescent="0.15">
      <c r="B42" s="451"/>
      <c r="F42" s="457"/>
      <c r="H42" s="663"/>
      <c r="I42" s="454"/>
    </row>
    <row r="43" spans="1:14" ht="15" hidden="1" customHeight="1" x14ac:dyDescent="0.15">
      <c r="H43" s="663"/>
      <c r="I43" s="454"/>
    </row>
    <row r="44" spans="1:14" ht="28.5" customHeight="1" x14ac:dyDescent="0.15">
      <c r="A44" s="511" t="s">
        <v>353</v>
      </c>
      <c r="B44" s="1401" t="s">
        <v>412</v>
      </c>
      <c r="C44" s="1393"/>
      <c r="D44" s="1393"/>
      <c r="E44" s="1411"/>
      <c r="F44" s="457">
        <v>0</v>
      </c>
      <c r="G44" s="1406" t="str">
        <f>IF(F44="","RISPOSTA OBBLIGATORIA","")</f>
        <v/>
      </c>
      <c r="H44" s="1407"/>
      <c r="I44" s="301">
        <f>F44</f>
        <v>0</v>
      </c>
    </row>
    <row r="45" spans="1:14" ht="15" customHeight="1" x14ac:dyDescent="0.15">
      <c r="F45" s="453"/>
      <c r="H45" s="663"/>
      <c r="I45" s="454"/>
    </row>
    <row r="46" spans="1:14" ht="15" customHeight="1" x14ac:dyDescent="0.15">
      <c r="F46" s="455" t="s">
        <v>271</v>
      </c>
      <c r="G46" s="455" t="s">
        <v>272</v>
      </c>
      <c r="H46" s="663"/>
      <c r="I46" s="482"/>
    </row>
    <row r="47" spans="1:14" ht="31.35" customHeight="1" x14ac:dyDescent="0.15">
      <c r="A47" s="511" t="s">
        <v>362</v>
      </c>
      <c r="B47" s="1390" t="s">
        <v>753</v>
      </c>
      <c r="C47" s="1390"/>
      <c r="D47" s="1390"/>
      <c r="E47" s="1391"/>
      <c r="F47" s="875"/>
      <c r="G47" s="876"/>
      <c r="H47" s="568" t="str">
        <f>IF(I47=0,"RISPOSTA OBBLIGATORIA","")</f>
        <v>RISPOSTA OBBLIGATORIA</v>
      </c>
      <c r="I47" s="454">
        <v>0</v>
      </c>
      <c r="J47" s="480" t="str">
        <f>IF(I47=1,"VERO",IF(I47=2,"FALSO",""))</f>
        <v/>
      </c>
    </row>
    <row r="48" spans="1:14" ht="23.1" customHeight="1" x14ac:dyDescent="0.15">
      <c r="B48" s="671"/>
      <c r="C48" s="877" t="s">
        <v>754</v>
      </c>
      <c r="D48" s="671"/>
      <c r="E48" s="671"/>
      <c r="F48" s="558"/>
      <c r="G48" s="557"/>
      <c r="H48" s="878"/>
      <c r="I48" s="454"/>
    </row>
    <row r="49" spans="1:10" ht="40.35" customHeight="1" x14ac:dyDescent="0.15">
      <c r="B49" s="838">
        <v>23</v>
      </c>
      <c r="C49" s="1390" t="s">
        <v>999</v>
      </c>
      <c r="D49" s="1390"/>
      <c r="E49" s="1391"/>
      <c r="F49" s="875"/>
      <c r="G49" s="876"/>
      <c r="H49" s="568" t="str">
        <f>IF($I$47=1,IF(($I$49)=0,"RISPONDERE OBBLIGATORIAMENTE ALLA DOMANDA"," "),IF(AND($I$47&gt;0,$I$49&gt;0),"LA RISPOSTA DATA IN QUESTA SEZIONE NON VERRA' CONSIDERATA",IF(I49&gt;0,"RISPONDERE ALLA DOMANDA 21","  ")))</f>
        <v xml:space="preserve">  </v>
      </c>
      <c r="I49" s="454">
        <v>0</v>
      </c>
      <c r="J49" s="480" t="str">
        <f>IF(I49=1,"VERO",IF(I49=2,"FALSO",""))</f>
        <v/>
      </c>
    </row>
    <row r="50" spans="1:10" ht="15" customHeight="1" x14ac:dyDescent="0.15">
      <c r="B50" s="451"/>
      <c r="C50" s="877"/>
      <c r="D50" s="877"/>
      <c r="E50" s="671"/>
      <c r="F50" s="558"/>
      <c r="G50" s="557"/>
      <c r="H50" s="878"/>
      <c r="I50" s="454"/>
    </row>
    <row r="51" spans="1:10" ht="20.100000000000001" customHeight="1" x14ac:dyDescent="0.15">
      <c r="F51" s="455" t="s">
        <v>271</v>
      </c>
      <c r="G51" s="455" t="s">
        <v>272</v>
      </c>
      <c r="H51" s="663"/>
      <c r="I51" s="482"/>
    </row>
    <row r="52" spans="1:10" ht="29.85" customHeight="1" x14ac:dyDescent="0.15">
      <c r="A52" s="1283" t="s">
        <v>386</v>
      </c>
      <c r="B52" s="1390" t="s">
        <v>1000</v>
      </c>
      <c r="C52" s="1390"/>
      <c r="D52" s="1390"/>
      <c r="E52" s="1391"/>
      <c r="F52" s="875"/>
      <c r="G52" s="876"/>
      <c r="H52" s="568" t="str">
        <f>IF(I52=0,"RISPOSTA OBBLIGATORIA","")</f>
        <v>RISPOSTA OBBLIGATORIA</v>
      </c>
      <c r="I52" s="454">
        <v>0</v>
      </c>
      <c r="J52" s="480" t="str">
        <f>IF(I52=1,"VERO",IF(I52=2,"FALSO",""))</f>
        <v/>
      </c>
    </row>
    <row r="53" spans="1:10" ht="15" hidden="1" customHeight="1" x14ac:dyDescent="0.15">
      <c r="B53" s="451"/>
      <c r="C53" s="877"/>
      <c r="D53" s="877"/>
      <c r="E53" s="671"/>
      <c r="F53" s="558"/>
      <c r="G53" s="557"/>
      <c r="H53" s="878"/>
      <c r="I53" s="454"/>
    </row>
    <row r="54" spans="1:10" ht="15" hidden="1" customHeight="1" x14ac:dyDescent="0.15">
      <c r="F54" s="455" t="s">
        <v>411</v>
      </c>
      <c r="H54" s="663"/>
      <c r="I54" s="454"/>
    </row>
    <row r="55" spans="1:10" ht="30" hidden="1" customHeight="1" x14ac:dyDescent="0.15">
      <c r="A55" s="511" t="s">
        <v>15</v>
      </c>
      <c r="B55" s="1390" t="s">
        <v>16</v>
      </c>
      <c r="C55" s="1390"/>
      <c r="D55" s="1390"/>
      <c r="E55" s="1391"/>
      <c r="F55" s="457">
        <v>0</v>
      </c>
      <c r="G55" s="1406" t="str">
        <f>IF(F55="","RISPOSTA OBBLIGATORIA","")</f>
        <v/>
      </c>
      <c r="H55" s="1407"/>
      <c r="I55" s="454"/>
    </row>
    <row r="56" spans="1:10" ht="15" hidden="1" customHeight="1" x14ac:dyDescent="0.15">
      <c r="H56" s="663"/>
      <c r="I56" s="454"/>
    </row>
    <row r="57" spans="1:10" ht="15" hidden="1" customHeight="1" x14ac:dyDescent="0.15">
      <c r="F57" s="455" t="s">
        <v>411</v>
      </c>
      <c r="H57" s="663"/>
      <c r="I57" s="454"/>
    </row>
    <row r="58" spans="1:10" ht="30" hidden="1" customHeight="1" x14ac:dyDescent="0.15">
      <c r="A58" s="511" t="s">
        <v>17</v>
      </c>
      <c r="B58" s="1390" t="s">
        <v>20</v>
      </c>
      <c r="C58" s="1390"/>
      <c r="D58" s="1390"/>
      <c r="E58" s="1391"/>
      <c r="F58" s="457">
        <v>0</v>
      </c>
      <c r="G58" s="1406" t="str">
        <f>IF(F58="","RISPOSTA OBBLIGATORIA","")</f>
        <v/>
      </c>
      <c r="H58" s="1407"/>
      <c r="I58" s="454"/>
    </row>
    <row r="59" spans="1:10" ht="15" hidden="1" customHeight="1" x14ac:dyDescent="0.15">
      <c r="H59" s="663"/>
      <c r="I59" s="454"/>
    </row>
    <row r="60" spans="1:10" ht="15" hidden="1" customHeight="1" x14ac:dyDescent="0.15">
      <c r="F60" s="455" t="s">
        <v>411</v>
      </c>
      <c r="H60" s="663"/>
      <c r="I60" s="454"/>
    </row>
    <row r="61" spans="1:10" ht="30" hidden="1" customHeight="1" x14ac:dyDescent="0.15">
      <c r="A61" s="511" t="s">
        <v>19</v>
      </c>
      <c r="B61" s="1390" t="s">
        <v>18</v>
      </c>
      <c r="C61" s="1390"/>
      <c r="D61" s="1390"/>
      <c r="E61" s="1391"/>
      <c r="F61" s="457">
        <v>0</v>
      </c>
      <c r="G61" s="1406" t="str">
        <f>IF(F61="","RISPOSTA OBBLIGATORIA","")</f>
        <v/>
      </c>
      <c r="H61" s="1407"/>
      <c r="I61" s="454"/>
    </row>
    <row r="62" spans="1:10" ht="15" customHeight="1" x14ac:dyDescent="0.15">
      <c r="B62" s="671"/>
      <c r="C62" s="671"/>
      <c r="D62" s="671"/>
      <c r="E62" s="671"/>
      <c r="F62" s="558"/>
      <c r="G62" s="557"/>
      <c r="H62" s="878"/>
      <c r="I62" s="454"/>
    </row>
    <row r="63" spans="1:10" ht="15" hidden="1" customHeight="1" x14ac:dyDescent="0.15">
      <c r="B63" s="671"/>
      <c r="C63" s="671"/>
      <c r="D63" s="671"/>
      <c r="E63" s="671"/>
      <c r="F63" s="455"/>
      <c r="G63" s="455"/>
      <c r="H63" s="878"/>
      <c r="I63" s="454"/>
    </row>
    <row r="64" spans="1:10" ht="30.75" hidden="1" customHeight="1" x14ac:dyDescent="0.15">
      <c r="A64" s="556" t="s">
        <v>479</v>
      </c>
      <c r="B64" s="1390"/>
      <c r="C64" s="1390"/>
      <c r="D64" s="1390"/>
      <c r="E64" s="1390"/>
      <c r="F64" s="875"/>
      <c r="G64" s="876"/>
      <c r="H64" s="878"/>
      <c r="I64" s="454"/>
      <c r="J64" s="480" t="str">
        <f>IF(I64=1,"VERO",IF(I64=2,"FALSO",""))</f>
        <v/>
      </c>
    </row>
    <row r="65" spans="1:9" ht="20.25" hidden="1" customHeight="1" x14ac:dyDescent="0.15">
      <c r="A65" s="556"/>
      <c r="B65" s="671"/>
      <c r="C65" s="877"/>
      <c r="D65" s="671"/>
      <c r="E65" s="671"/>
      <c r="F65" s="558"/>
      <c r="G65" s="557"/>
      <c r="H65" s="878"/>
      <c r="I65" s="454"/>
    </row>
    <row r="66" spans="1:9" ht="15" hidden="1" customHeight="1" x14ac:dyDescent="0.15">
      <c r="F66" s="455"/>
      <c r="G66" s="557"/>
      <c r="H66" s="878"/>
      <c r="I66" s="454"/>
    </row>
    <row r="67" spans="1:9" ht="30" hidden="1" customHeight="1" x14ac:dyDescent="0.15">
      <c r="A67" s="556"/>
      <c r="B67" s="512">
        <v>29</v>
      </c>
      <c r="C67" s="1390"/>
      <c r="D67" s="1390"/>
      <c r="E67" s="1391"/>
      <c r="F67" s="457"/>
      <c r="G67" s="1412"/>
      <c r="H67" s="1413"/>
      <c r="I67" s="454"/>
    </row>
    <row r="68" spans="1:9" ht="15" hidden="1" customHeight="1" x14ac:dyDescent="0.15">
      <c r="A68" s="556"/>
      <c r="B68" s="671"/>
      <c r="C68" s="671"/>
      <c r="D68" s="671"/>
      <c r="E68" s="671"/>
      <c r="F68" s="558"/>
      <c r="G68" s="557"/>
      <c r="H68" s="878"/>
      <c r="I68" s="454"/>
    </row>
    <row r="69" spans="1:9" ht="15" hidden="1" customHeight="1" x14ac:dyDescent="0.15">
      <c r="F69" s="455"/>
      <c r="H69" s="663"/>
      <c r="I69" s="454"/>
    </row>
    <row r="70" spans="1:9" ht="30" hidden="1" customHeight="1" x14ac:dyDescent="0.15">
      <c r="A70" s="556"/>
      <c r="B70" s="512">
        <v>30</v>
      </c>
      <c r="C70" s="1390"/>
      <c r="D70" s="1390"/>
      <c r="E70" s="1391"/>
      <c r="F70" s="457"/>
      <c r="G70" s="1412"/>
      <c r="H70" s="1413"/>
      <c r="I70" s="454"/>
    </row>
    <row r="71" spans="1:9" ht="15" hidden="1" customHeight="1" x14ac:dyDescent="0.15">
      <c r="B71" s="448"/>
      <c r="C71" s="448"/>
      <c r="D71" s="448"/>
      <c r="E71" s="448"/>
      <c r="F71" s="448"/>
      <c r="G71" s="448"/>
      <c r="H71" s="841"/>
      <c r="I71" s="454"/>
    </row>
    <row r="72" spans="1:9" ht="15" hidden="1" customHeight="1" x14ac:dyDescent="0.15">
      <c r="B72" s="448"/>
      <c r="C72" s="448"/>
      <c r="D72" s="448"/>
      <c r="E72" s="448"/>
      <c r="F72" s="448"/>
      <c r="G72" s="448"/>
      <c r="H72" s="841"/>
      <c r="I72" s="454"/>
    </row>
    <row r="73" spans="1:9" ht="15" hidden="1" customHeight="1" x14ac:dyDescent="0.15">
      <c r="B73" s="448"/>
      <c r="C73" s="448"/>
      <c r="D73" s="448"/>
      <c r="E73" s="448"/>
      <c r="F73" s="448"/>
      <c r="G73" s="448"/>
      <c r="H73" s="841"/>
      <c r="I73" s="454"/>
    </row>
    <row r="74" spans="1:9" ht="15" hidden="1" customHeight="1" x14ac:dyDescent="0.15">
      <c r="B74" s="448"/>
      <c r="C74" s="448"/>
      <c r="D74" s="448"/>
      <c r="E74" s="448"/>
      <c r="F74" s="448"/>
      <c r="G74" s="448"/>
      <c r="H74" s="841"/>
      <c r="I74" s="454"/>
    </row>
    <row r="75" spans="1:9" ht="15" hidden="1" customHeight="1" x14ac:dyDescent="0.15">
      <c r="B75" s="448"/>
      <c r="C75" s="448"/>
      <c r="D75" s="448"/>
      <c r="E75" s="448"/>
      <c r="F75" s="448"/>
      <c r="G75" s="448"/>
      <c r="H75" s="841"/>
      <c r="I75" s="454"/>
    </row>
    <row r="76" spans="1:9" ht="15" hidden="1" customHeight="1" x14ac:dyDescent="0.15">
      <c r="B76" s="448"/>
      <c r="C76" s="448"/>
      <c r="D76" s="448"/>
      <c r="E76" s="448"/>
      <c r="F76" s="448"/>
      <c r="G76" s="448"/>
      <c r="H76" s="841"/>
      <c r="I76" s="454"/>
    </row>
    <row r="77" spans="1:9" ht="15" hidden="1" customHeight="1" x14ac:dyDescent="0.15">
      <c r="B77" s="448"/>
      <c r="C77" s="448"/>
      <c r="D77" s="448"/>
      <c r="E77" s="448"/>
      <c r="F77" s="448"/>
      <c r="G77" s="448"/>
      <c r="H77" s="841"/>
      <c r="I77" s="454"/>
    </row>
    <row r="78" spans="1:9" ht="15" hidden="1" customHeight="1" x14ac:dyDescent="0.15">
      <c r="A78" s="1272"/>
      <c r="B78" s="1272"/>
      <c r="C78" s="1272"/>
      <c r="D78" s="1272"/>
      <c r="E78" s="1272"/>
      <c r="F78" s="1272"/>
      <c r="G78" s="1272"/>
      <c r="H78" s="841"/>
      <c r="I78" s="405"/>
    </row>
    <row r="79" spans="1:9" ht="15" hidden="1" customHeight="1" x14ac:dyDescent="0.15">
      <c r="A79" s="1272"/>
      <c r="B79" s="1272"/>
      <c r="C79" s="1272"/>
      <c r="D79" s="1272"/>
      <c r="E79" s="1272"/>
      <c r="F79" s="1272"/>
      <c r="G79" s="1272"/>
      <c r="H79" s="841"/>
      <c r="I79" s="405"/>
    </row>
    <row r="80" spans="1:9" ht="15" hidden="1" customHeight="1" x14ac:dyDescent="0.15">
      <c r="A80" s="1272"/>
      <c r="B80" s="1272"/>
      <c r="C80" s="1272"/>
      <c r="D80" s="1272"/>
      <c r="E80" s="1272"/>
      <c r="F80" s="1272"/>
      <c r="G80" s="1272"/>
      <c r="H80" s="841"/>
      <c r="I80" s="405"/>
    </row>
    <row r="81" spans="1:10" ht="18.600000000000001" hidden="1" customHeight="1" x14ac:dyDescent="0.15">
      <c r="C81" s="1306"/>
      <c r="D81" s="670"/>
      <c r="E81" s="670"/>
      <c r="F81" s="843"/>
      <c r="G81" s="843"/>
      <c r="H81" s="1307"/>
      <c r="I81" s="454"/>
    </row>
    <row r="82" spans="1:10" ht="18.600000000000001" hidden="1" customHeight="1" x14ac:dyDescent="0.15">
      <c r="C82" s="1306"/>
      <c r="D82" s="670"/>
      <c r="E82" s="670"/>
      <c r="F82" s="843"/>
      <c r="G82" s="843"/>
      <c r="H82" s="1307"/>
      <c r="I82" s="454"/>
    </row>
    <row r="83" spans="1:10" ht="22.35" customHeight="1" x14ac:dyDescent="0.15">
      <c r="B83" s="1414" t="s">
        <v>575</v>
      </c>
      <c r="C83" s="1414"/>
      <c r="D83" s="1414"/>
      <c r="E83" s="670"/>
      <c r="F83" s="455" t="s">
        <v>271</v>
      </c>
      <c r="G83" s="455" t="s">
        <v>272</v>
      </c>
      <c r="H83" s="1307"/>
      <c r="I83" s="454"/>
    </row>
    <row r="84" spans="1:10" ht="33" customHeight="1" x14ac:dyDescent="0.15">
      <c r="A84" s="511">
        <v>46</v>
      </c>
      <c r="B84" s="1390" t="s">
        <v>565</v>
      </c>
      <c r="C84" s="1390"/>
      <c r="D84" s="1390"/>
      <c r="E84" s="1390"/>
      <c r="F84" s="517"/>
      <c r="G84" s="517"/>
      <c r="H84" s="568" t="str">
        <f>IF(I84=0,"RISPOSTA OBBLIGATORIA","")</f>
        <v>RISPOSTA OBBLIGATORIA</v>
      </c>
      <c r="I84" s="454">
        <v>0</v>
      </c>
      <c r="J84" s="480" t="str">
        <f>IF(I84=1,"VERO",IF(I84=2,"FALSO",""))</f>
        <v/>
      </c>
    </row>
    <row r="85" spans="1:10" ht="9" customHeight="1" x14ac:dyDescent="0.15">
      <c r="C85" s="1306"/>
      <c r="D85" s="670"/>
      <c r="E85" s="670"/>
      <c r="F85" s="843"/>
      <c r="G85" s="843"/>
      <c r="H85" s="1307"/>
      <c r="I85" s="454"/>
    </row>
    <row r="86" spans="1:10" ht="33" customHeight="1" x14ac:dyDescent="0.15">
      <c r="A86" s="511">
        <v>47</v>
      </c>
      <c r="B86" s="1390" t="s">
        <v>566</v>
      </c>
      <c r="C86" s="1390"/>
      <c r="D86" s="1390"/>
      <c r="E86" s="1390"/>
      <c r="F86" s="517"/>
      <c r="G86" s="517"/>
      <c r="H86" s="568" t="str">
        <f>IF(I86=0,"RISPOSTA OBBLIGATORIA","")</f>
        <v>RISPOSTA OBBLIGATORIA</v>
      </c>
      <c r="I86" s="454">
        <v>0</v>
      </c>
      <c r="J86" s="480" t="str">
        <f>IF(I86=1,"VERO",IF(I86=2,"FALSO",""))</f>
        <v/>
      </c>
    </row>
    <row r="87" spans="1:10" ht="9" customHeight="1" x14ac:dyDescent="0.15">
      <c r="C87" s="1306"/>
      <c r="D87" s="670"/>
      <c r="E87" s="670"/>
      <c r="F87" s="843"/>
      <c r="G87" s="843"/>
      <c r="H87" s="1307"/>
      <c r="I87" s="454"/>
    </row>
    <row r="88" spans="1:10" ht="33" customHeight="1" x14ac:dyDescent="0.15">
      <c r="A88" s="511">
        <v>48</v>
      </c>
      <c r="B88" s="1390" t="s">
        <v>567</v>
      </c>
      <c r="C88" s="1390"/>
      <c r="D88" s="1390"/>
      <c r="E88" s="1390"/>
      <c r="F88" s="517"/>
      <c r="G88" s="517"/>
      <c r="H88" s="568" t="str">
        <f>IF(I88=0,"RISPOSTA OBBLIGATORIA","")</f>
        <v>RISPOSTA OBBLIGATORIA</v>
      </c>
      <c r="I88" s="454">
        <v>0</v>
      </c>
      <c r="J88" s="480" t="str">
        <f>IF(I88=1,"VERO",IF(I88=2,"FALSO",""))</f>
        <v/>
      </c>
    </row>
    <row r="89" spans="1:10" ht="9" customHeight="1" x14ac:dyDescent="0.15">
      <c r="C89" s="1306"/>
      <c r="D89" s="670"/>
      <c r="E89" s="670"/>
      <c r="F89" s="843"/>
      <c r="G89" s="843"/>
      <c r="H89" s="1307"/>
      <c r="I89" s="454"/>
    </row>
    <row r="90" spans="1:10" ht="33" customHeight="1" x14ac:dyDescent="0.15">
      <c r="A90" s="511">
        <v>49</v>
      </c>
      <c r="B90" s="1390" t="s">
        <v>568</v>
      </c>
      <c r="C90" s="1390"/>
      <c r="D90" s="1390"/>
      <c r="E90" s="1390"/>
      <c r="F90" s="517"/>
      <c r="G90" s="517"/>
      <c r="H90" s="568" t="str">
        <f>IF(I90=0,"RISPOSTA OBBLIGATORIA","")</f>
        <v>RISPOSTA OBBLIGATORIA</v>
      </c>
      <c r="I90" s="454">
        <v>0</v>
      </c>
      <c r="J90" s="480" t="str">
        <f>IF(I90=1,"VERO",IF(I90=2,"FALSO",""))</f>
        <v/>
      </c>
    </row>
    <row r="91" spans="1:10" ht="9" customHeight="1" x14ac:dyDescent="0.15">
      <c r="C91" s="1306"/>
      <c r="D91" s="670"/>
      <c r="E91" s="670"/>
      <c r="F91" s="843"/>
      <c r="G91" s="843"/>
      <c r="H91" s="1307"/>
      <c r="I91" s="454"/>
    </row>
    <row r="92" spans="1:10" ht="33" customHeight="1" x14ac:dyDescent="0.15">
      <c r="A92" s="511">
        <v>50</v>
      </c>
      <c r="B92" s="1390" t="s">
        <v>569</v>
      </c>
      <c r="C92" s="1390"/>
      <c r="D92" s="1390"/>
      <c r="E92" s="1390"/>
      <c r="F92" s="517"/>
      <c r="G92" s="517"/>
      <c r="H92" s="568" t="str">
        <f>IF(I92=0,"RISPOSTA OBBLIGATORIA","")</f>
        <v>RISPOSTA OBBLIGATORIA</v>
      </c>
      <c r="I92" s="454">
        <v>0</v>
      </c>
      <c r="J92" s="480" t="str">
        <f>IF(I92=1,"VERO",IF(I92=2,"FALSO",""))</f>
        <v/>
      </c>
    </row>
    <row r="93" spans="1:10" ht="9" customHeight="1" x14ac:dyDescent="0.15">
      <c r="C93" s="1306"/>
      <c r="D93" s="670"/>
      <c r="E93" s="670"/>
      <c r="F93" s="843"/>
      <c r="G93" s="843"/>
      <c r="H93" s="1307"/>
      <c r="I93" s="454"/>
    </row>
    <row r="94" spans="1:10" ht="33" customHeight="1" x14ac:dyDescent="0.15">
      <c r="A94" s="511">
        <v>51</v>
      </c>
      <c r="B94" s="1390" t="s">
        <v>570</v>
      </c>
      <c r="C94" s="1390"/>
      <c r="D94" s="1390"/>
      <c r="E94" s="1390"/>
      <c r="F94" s="517"/>
      <c r="G94" s="517"/>
      <c r="H94" s="568" t="str">
        <f>IF(I94=0,"RISPOSTA OBBLIGATORIA","")</f>
        <v>RISPOSTA OBBLIGATORIA</v>
      </c>
      <c r="I94" s="454">
        <v>0</v>
      </c>
      <c r="J94" s="480" t="str">
        <f>IF(I94=1,"VERO",IF(I94=2,"FALSO",""))</f>
        <v/>
      </c>
    </row>
    <row r="95" spans="1:10" ht="9" customHeight="1" x14ac:dyDescent="0.15">
      <c r="C95" s="1306"/>
      <c r="D95" s="670"/>
      <c r="E95" s="670"/>
      <c r="F95" s="843"/>
      <c r="G95" s="843"/>
      <c r="H95" s="1307"/>
      <c r="I95" s="454"/>
    </row>
    <row r="96" spans="1:10" ht="42" customHeight="1" x14ac:dyDescent="0.15">
      <c r="A96" s="511">
        <v>52</v>
      </c>
      <c r="B96" s="1390" t="s">
        <v>571</v>
      </c>
      <c r="C96" s="1390"/>
      <c r="D96" s="1390"/>
      <c r="E96" s="1390"/>
      <c r="F96" s="517"/>
      <c r="G96" s="517"/>
      <c r="H96" s="568" t="str">
        <f>IF(I96=0,"RISPOSTA OBBLIGATORIA","")</f>
        <v>RISPOSTA OBBLIGATORIA</v>
      </c>
      <c r="I96" s="454">
        <v>0</v>
      </c>
      <c r="J96" s="480" t="str">
        <f>IF(I96=1,"VERO",IF(I96=2,"FALSO",""))</f>
        <v/>
      </c>
    </row>
    <row r="97" spans="1:11" ht="9" customHeight="1" x14ac:dyDescent="0.15">
      <c r="C97" s="1306"/>
      <c r="D97" s="670"/>
      <c r="E97" s="670"/>
      <c r="F97" s="843"/>
      <c r="G97" s="843"/>
      <c r="H97" s="1307"/>
      <c r="I97" s="454"/>
    </row>
    <row r="98" spans="1:11" ht="33" customHeight="1" x14ac:dyDescent="0.15">
      <c r="A98" s="511">
        <v>53</v>
      </c>
      <c r="B98" s="1390" t="s">
        <v>572</v>
      </c>
      <c r="C98" s="1390"/>
      <c r="D98" s="1390"/>
      <c r="E98" s="1390"/>
      <c r="F98" s="517"/>
      <c r="G98" s="517"/>
      <c r="H98" s="568" t="str">
        <f>IF(I98=0,"RISPOSTA OBBLIGATORIA","")</f>
        <v>RISPOSTA OBBLIGATORIA</v>
      </c>
      <c r="I98" s="454">
        <v>0</v>
      </c>
      <c r="J98" s="480" t="str">
        <f>IF(I98=1,"VERO",IF(I98=2,"FALSO",""))</f>
        <v/>
      </c>
    </row>
    <row r="99" spans="1:11" ht="9" customHeight="1" x14ac:dyDescent="0.15">
      <c r="C99" s="1306"/>
      <c r="D99" s="670"/>
      <c r="E99" s="670"/>
      <c r="F99" s="843"/>
      <c r="G99" s="843"/>
      <c r="H99" s="1307"/>
      <c r="I99" s="454"/>
    </row>
    <row r="100" spans="1:11" ht="33" customHeight="1" x14ac:dyDescent="0.15">
      <c r="A100" s="511">
        <v>54</v>
      </c>
      <c r="B100" s="1390" t="s">
        <v>573</v>
      </c>
      <c r="C100" s="1390"/>
      <c r="D100" s="1390"/>
      <c r="E100" s="1390"/>
      <c r="F100" s="517"/>
      <c r="G100" s="517"/>
      <c r="H100" s="568" t="str">
        <f>IF(I100=0,"RISPOSTA OBBLIGATORIA","")</f>
        <v>RISPOSTA OBBLIGATORIA</v>
      </c>
      <c r="I100" s="454">
        <v>0</v>
      </c>
      <c r="J100" s="480" t="str">
        <f>IF(I100=1,"VERO",IF(I100=2,"FALSO",""))</f>
        <v/>
      </c>
    </row>
    <row r="101" spans="1:11" ht="9" customHeight="1" x14ac:dyDescent="0.15">
      <c r="C101" s="1306"/>
      <c r="D101" s="670"/>
      <c r="E101" s="670"/>
      <c r="F101" s="843"/>
      <c r="G101" s="843"/>
      <c r="H101" s="1307"/>
      <c r="I101" s="454"/>
    </row>
    <row r="102" spans="1:11" ht="42" customHeight="1" x14ac:dyDescent="0.15">
      <c r="A102" s="511">
        <v>55</v>
      </c>
      <c r="B102" s="1390" t="s">
        <v>576</v>
      </c>
      <c r="C102" s="1390"/>
      <c r="D102" s="1390"/>
      <c r="E102" s="1390"/>
      <c r="F102" s="517"/>
      <c r="G102" s="517"/>
      <c r="H102" s="568" t="str">
        <f>IF(I102=0,"RISPOSTA OBBLIGATORIA","")</f>
        <v>RISPOSTA OBBLIGATORIA</v>
      </c>
      <c r="I102" s="454">
        <v>0</v>
      </c>
      <c r="J102" s="480" t="str">
        <f>IF(I102=1,"VERO",IF(I102=2,"FALSO",""))</f>
        <v/>
      </c>
    </row>
    <row r="103" spans="1:11" ht="9" customHeight="1" x14ac:dyDescent="0.15">
      <c r="C103" s="1306"/>
      <c r="D103" s="670"/>
      <c r="E103" s="670"/>
      <c r="F103" s="843"/>
      <c r="G103" s="843"/>
      <c r="H103" s="1307"/>
      <c r="I103" s="454"/>
    </row>
    <row r="104" spans="1:11" ht="33" customHeight="1" x14ac:dyDescent="0.15">
      <c r="A104" s="511">
        <v>56</v>
      </c>
      <c r="B104" s="1390" t="s">
        <v>574</v>
      </c>
      <c r="C104" s="1390"/>
      <c r="D104" s="1390"/>
      <c r="E104" s="1390"/>
      <c r="F104" s="517"/>
      <c r="G104" s="517"/>
      <c r="H104" s="568" t="str">
        <f>IF(I104=0,"RISPOSTA OBBLIGATORIA","")</f>
        <v>RISPOSTA OBBLIGATORIA</v>
      </c>
      <c r="I104" s="454">
        <v>0</v>
      </c>
      <c r="J104" s="480" t="str">
        <f>IF(I104=1,"VERO",IF(I104=2,"FALSO",""))</f>
        <v/>
      </c>
    </row>
    <row r="105" spans="1:11" ht="15" customHeight="1" x14ac:dyDescent="0.15">
      <c r="B105" s="1218"/>
      <c r="C105" s="1308"/>
      <c r="D105" s="1308"/>
      <c r="E105" s="1309"/>
      <c r="F105" s="1308"/>
      <c r="G105" s="1308"/>
      <c r="H105" s="1310"/>
      <c r="I105" s="454"/>
    </row>
    <row r="106" spans="1:11" s="859" customFormat="1" x14ac:dyDescent="0.15">
      <c r="A106" s="511"/>
      <c r="B106" s="512"/>
      <c r="C106" s="512"/>
      <c r="D106" s="512"/>
      <c r="E106" s="512"/>
      <c r="F106" s="455" t="s">
        <v>411</v>
      </c>
      <c r="G106" s="512"/>
      <c r="H106" s="663"/>
      <c r="I106"/>
      <c r="J106"/>
      <c r="K106"/>
    </row>
    <row r="107" spans="1:11" s="859" customFormat="1" ht="36" customHeight="1" x14ac:dyDescent="0.15">
      <c r="A107" s="511" t="s">
        <v>637</v>
      </c>
      <c r="B107" s="1390" t="s">
        <v>755</v>
      </c>
      <c r="C107" s="1390"/>
      <c r="D107" s="1390"/>
      <c r="E107" s="1391"/>
      <c r="F107" s="457">
        <v>0</v>
      </c>
      <c r="G107" s="1406" t="str">
        <f>IF(F107="","RISPOSTA OBBLIGATORIA","")</f>
        <v/>
      </c>
      <c r="H107" s="1407"/>
      <c r="I107" s="301">
        <f>F107</f>
        <v>0</v>
      </c>
      <c r="J107"/>
      <c r="K107"/>
    </row>
    <row r="108" spans="1:11" s="859" customFormat="1" x14ac:dyDescent="0.15">
      <c r="A108" s="511"/>
      <c r="B108" s="512"/>
      <c r="C108" s="512"/>
      <c r="D108" s="512"/>
      <c r="E108" s="512"/>
      <c r="F108" s="512"/>
      <c r="G108" s="512"/>
      <c r="H108" s="663"/>
      <c r="I108"/>
      <c r="J108"/>
      <c r="K108"/>
    </row>
    <row r="109" spans="1:11" s="859" customFormat="1" x14ac:dyDescent="0.15">
      <c r="A109" s="511"/>
      <c r="B109" s="512"/>
      <c r="C109" s="512"/>
      <c r="D109" s="512"/>
      <c r="E109" s="512"/>
      <c r="F109" s="455" t="s">
        <v>411</v>
      </c>
      <c r="G109" s="512"/>
      <c r="H109" s="663"/>
      <c r="I109"/>
      <c r="J109"/>
      <c r="K109"/>
    </row>
    <row r="110" spans="1:11" s="859" customFormat="1" ht="36" customHeight="1" x14ac:dyDescent="0.15">
      <c r="A110" s="511" t="s">
        <v>638</v>
      </c>
      <c r="B110" s="1390" t="s">
        <v>756</v>
      </c>
      <c r="C110" s="1390"/>
      <c r="D110" s="1390"/>
      <c r="E110" s="1391"/>
      <c r="F110" s="457">
        <v>0</v>
      </c>
      <c r="G110" s="1406" t="str">
        <f>IF(F110="","RISPOSTA OBBLIGATORIA","")</f>
        <v/>
      </c>
      <c r="H110" s="1407"/>
      <c r="I110" s="301">
        <f>F110</f>
        <v>0</v>
      </c>
      <c r="J110"/>
      <c r="K110"/>
    </row>
    <row r="111" spans="1:11" s="859" customFormat="1" x14ac:dyDescent="0.15">
      <c r="A111" s="511"/>
      <c r="B111" s="512"/>
      <c r="C111" s="512"/>
      <c r="D111" s="512"/>
      <c r="E111" s="512"/>
      <c r="F111" s="512"/>
      <c r="G111" s="512"/>
      <c r="H111" s="663"/>
      <c r="I111"/>
      <c r="J111"/>
      <c r="K111"/>
    </row>
    <row r="112" spans="1:11" s="859" customFormat="1" x14ac:dyDescent="0.15">
      <c r="A112" s="511"/>
      <c r="B112" s="512"/>
      <c r="C112" s="512"/>
      <c r="D112" s="512"/>
      <c r="E112" s="512"/>
      <c r="F112" s="455" t="s">
        <v>411</v>
      </c>
      <c r="G112" s="512"/>
      <c r="H112" s="663"/>
      <c r="I112"/>
      <c r="J112"/>
      <c r="K112"/>
    </row>
    <row r="113" spans="1:12" s="859" customFormat="1" ht="36" customHeight="1" x14ac:dyDescent="0.15">
      <c r="A113" s="511" t="s">
        <v>639</v>
      </c>
      <c r="B113" s="1390" t="s">
        <v>757</v>
      </c>
      <c r="C113" s="1390"/>
      <c r="D113" s="1390"/>
      <c r="E113" s="1391"/>
      <c r="F113" s="457">
        <v>0</v>
      </c>
      <c r="G113" s="1406" t="str">
        <f>IF(F113="","RISPOSTA OBBLIGATORIA","")</f>
        <v/>
      </c>
      <c r="H113" s="1407"/>
      <c r="I113" s="301">
        <f>F113</f>
        <v>0</v>
      </c>
      <c r="J113"/>
      <c r="K113"/>
    </row>
    <row r="114" spans="1:12" customFormat="1" ht="15.6" hidden="1" customHeight="1" x14ac:dyDescent="0.15">
      <c r="A114" s="511"/>
      <c r="B114" s="671"/>
      <c r="C114" s="671"/>
      <c r="D114" s="671"/>
      <c r="E114" s="671"/>
      <c r="F114" s="671"/>
      <c r="G114" s="557"/>
      <c r="H114" s="778"/>
    </row>
    <row r="115" spans="1:12" customFormat="1" ht="15.6" hidden="1" customHeight="1" x14ac:dyDescent="0.15">
      <c r="A115" s="511"/>
      <c r="B115" s="671"/>
      <c r="C115" s="671"/>
      <c r="D115" s="671"/>
      <c r="E115" s="671"/>
      <c r="F115" s="671"/>
      <c r="G115" s="557"/>
      <c r="H115" s="663"/>
    </row>
    <row r="116" spans="1:12" customFormat="1" ht="15.6" hidden="1" customHeight="1" x14ac:dyDescent="0.15">
      <c r="A116" s="511"/>
      <c r="B116" s="671"/>
      <c r="C116" s="671"/>
      <c r="D116" s="671"/>
      <c r="E116" s="671"/>
      <c r="F116" s="671"/>
      <c r="G116" s="557"/>
      <c r="H116" s="663"/>
    </row>
    <row r="117" spans="1:12" customFormat="1" ht="15.6" hidden="1" customHeight="1" x14ac:dyDescent="0.15">
      <c r="A117" s="511"/>
      <c r="B117" s="671"/>
      <c r="C117" s="671"/>
      <c r="D117" s="671"/>
      <c r="E117" s="671"/>
      <c r="F117" s="671"/>
      <c r="G117" s="557"/>
      <c r="H117" s="663"/>
    </row>
    <row r="118" spans="1:12" customFormat="1" ht="15.6" hidden="1" customHeight="1" x14ac:dyDescent="0.15">
      <c r="A118" s="511"/>
      <c r="B118" s="671"/>
      <c r="C118" s="671"/>
      <c r="D118" s="671"/>
      <c r="E118" s="671"/>
      <c r="F118" s="671"/>
      <c r="G118" s="557"/>
      <c r="H118" s="663"/>
    </row>
    <row r="119" spans="1:12" customFormat="1" ht="15.6" hidden="1" customHeight="1" x14ac:dyDescent="0.15">
      <c r="A119" s="511"/>
      <c r="B119" s="671"/>
      <c r="C119" s="671"/>
      <c r="D119" s="671"/>
      <c r="E119" s="671"/>
      <c r="F119" s="671"/>
      <c r="G119" s="557"/>
      <c r="H119" s="778"/>
    </row>
    <row r="120" spans="1:12" ht="15.6" customHeight="1" x14ac:dyDescent="0.15">
      <c r="C120" s="1306"/>
      <c r="D120" s="670"/>
      <c r="E120" s="670"/>
      <c r="F120" s="671"/>
      <c r="G120" s="843"/>
      <c r="H120" s="1307"/>
      <c r="I120" s="454"/>
    </row>
    <row r="121" spans="1:12" ht="15" customHeight="1" x14ac:dyDescent="0.15">
      <c r="F121" s="455"/>
      <c r="H121" s="663"/>
      <c r="I121" s="482"/>
    </row>
    <row r="122" spans="1:12" ht="49.35" customHeight="1" x14ac:dyDescent="0.85">
      <c r="A122" s="838" t="s">
        <v>601</v>
      </c>
      <c r="B122" s="1398" t="s">
        <v>1034</v>
      </c>
      <c r="C122" s="1398"/>
      <c r="D122" s="1398"/>
      <c r="E122" s="1415"/>
      <c r="F122" s="792" t="s">
        <v>675</v>
      </c>
      <c r="G122" s="840" t="str">
        <f>IF(I122=0,"←","")</f>
        <v>←</v>
      </c>
      <c r="H122" s="568" t="str">
        <f>IF(I122=0,"RISPOSTA OBBLIGATORIA - Cliccare sulla cella per selezionare la risposta","")</f>
        <v>RISPOSTA OBBLIGATORIA - Cliccare sulla cella per selezionare la risposta</v>
      </c>
      <c r="I122" s="793">
        <f>IF(F122="Si",1,IF(F122="No",2,IF(F122="Non tenuto","X",0)))</f>
        <v>0</v>
      </c>
    </row>
    <row r="123" spans="1:12" ht="15" customHeight="1" x14ac:dyDescent="0.15">
      <c r="H123" s="663"/>
      <c r="I123" s="454"/>
    </row>
    <row r="124" spans="1:12" ht="15" hidden="1" customHeight="1" x14ac:dyDescent="0.15">
      <c r="F124" s="455"/>
      <c r="G124" s="455"/>
      <c r="H124" s="663"/>
      <c r="I124" s="482"/>
    </row>
    <row r="125" spans="1:12" ht="43.5" hidden="1" customHeight="1" x14ac:dyDescent="0.15">
      <c r="A125" s="838"/>
      <c r="B125" s="1394"/>
      <c r="C125" s="1394"/>
      <c r="D125" s="1394"/>
      <c r="E125" s="1395"/>
      <c r="F125" s="431"/>
      <c r="G125" s="431"/>
      <c r="H125" s="568"/>
    </row>
    <row r="126" spans="1:12" ht="15" hidden="1" customHeight="1" x14ac:dyDescent="0.15">
      <c r="F126" s="453"/>
      <c r="G126" s="480"/>
      <c r="H126" s="663"/>
      <c r="I126" s="454"/>
    </row>
    <row r="127" spans="1:12" ht="15" customHeight="1" x14ac:dyDescent="0.15">
      <c r="F127" s="455" t="s">
        <v>411</v>
      </c>
      <c r="G127" s="843"/>
      <c r="H127" s="1285"/>
      <c r="I127" s="858"/>
      <c r="J127" s="859"/>
      <c r="K127" s="859"/>
      <c r="L127" s="859"/>
    </row>
    <row r="128" spans="1:12" ht="46.5" customHeight="1" x14ac:dyDescent="0.15">
      <c r="A128" s="838" t="s">
        <v>677</v>
      </c>
      <c r="B128" s="1394" t="s">
        <v>966</v>
      </c>
      <c r="C128" s="1394"/>
      <c r="D128" s="1394"/>
      <c r="E128" s="1395"/>
      <c r="F128" s="457">
        <v>0</v>
      </c>
      <c r="G128" s="1406" t="str">
        <f>IF(F128="","RISPOSTA OBBLIGATORIA","")</f>
        <v/>
      </c>
      <c r="H128" s="1410"/>
      <c r="I128" s="301">
        <f>F128</f>
        <v>0</v>
      </c>
      <c r="J128" s="859"/>
      <c r="K128" s="859"/>
      <c r="L128" s="859"/>
    </row>
    <row r="129" spans="1:9" ht="18.600000000000001" customHeight="1" x14ac:dyDescent="0.15">
      <c r="C129" s="1306"/>
      <c r="D129" s="670"/>
      <c r="E129" s="670"/>
      <c r="F129" s="843"/>
      <c r="G129" s="843"/>
      <c r="H129" s="1307"/>
      <c r="I129" s="454"/>
    </row>
    <row r="130" spans="1:9" ht="15" customHeight="1" x14ac:dyDescent="0.15">
      <c r="F130" s="455"/>
      <c r="H130" s="568"/>
      <c r="I130" s="482"/>
    </row>
    <row r="131" spans="1:9" ht="50.1" customHeight="1" x14ac:dyDescent="0.85">
      <c r="A131" s="838" t="s">
        <v>822</v>
      </c>
      <c r="B131" s="1398" t="s">
        <v>823</v>
      </c>
      <c r="C131" s="1398"/>
      <c r="D131" s="1398"/>
      <c r="E131" s="1415"/>
      <c r="F131" s="839" t="s">
        <v>675</v>
      </c>
      <c r="G131" s="840" t="str">
        <f>IF(I131=0,"←","")</f>
        <v>←</v>
      </c>
      <c r="H131" s="568" t="str">
        <f>IF(I131=0,"RISPOSTA OBBLIGATORIA - Cliccare sulla cella per selezionare la risposta","")</f>
        <v>RISPOSTA OBBLIGATORIA - Cliccare sulla cella per selezionare la risposta</v>
      </c>
      <c r="I131" s="793">
        <f>IF(F131="Sì, esiste un apposito Ufficio/Servizio",1,IF(F131="No",2,IF(F131="No, ma la funzione è esercitata da un altro ufficio","X",0)))</f>
        <v>0</v>
      </c>
    </row>
    <row r="132" spans="1:9" ht="15" customHeight="1" x14ac:dyDescent="0.15">
      <c r="B132" s="448"/>
      <c r="C132" s="448"/>
      <c r="D132" s="448"/>
      <c r="E132" s="448"/>
      <c r="F132" s="448"/>
      <c r="G132" s="448"/>
      <c r="H132" s="841"/>
      <c r="I132" s="454"/>
    </row>
    <row r="133" spans="1:9" ht="15" customHeight="1" x14ac:dyDescent="0.15">
      <c r="F133" s="455"/>
      <c r="H133" s="568"/>
      <c r="I133" s="482"/>
    </row>
    <row r="134" spans="1:9" ht="50.1" customHeight="1" x14ac:dyDescent="0.85">
      <c r="A134" s="838" t="s">
        <v>824</v>
      </c>
      <c r="B134" s="1398" t="s">
        <v>825</v>
      </c>
      <c r="C134" s="1398"/>
      <c r="D134" s="1398"/>
      <c r="E134" s="1415"/>
      <c r="F134" s="839" t="s">
        <v>675</v>
      </c>
      <c r="G134" s="840" t="str">
        <f>IF(I134=0,"←","")</f>
        <v>←</v>
      </c>
      <c r="H134" s="568" t="str">
        <f>IF(I134=0,"RISPOSTA OBBLIGATORIA - Cliccare sulla cella per selezionare la risposta","")</f>
        <v>RISPOSTA OBBLIGATORIA - Cliccare sulla cella per selezionare la risposta</v>
      </c>
      <c r="I134" s="793">
        <f>IF(F134="Sì, annuale per l'anno di rilevazione",1,IF(F134="No",2,IF(F134="Sì, pluriennale","X",0)))</f>
        <v>0</v>
      </c>
    </row>
    <row r="135" spans="1:9" ht="15" customHeight="1" x14ac:dyDescent="0.15">
      <c r="B135" s="448"/>
      <c r="C135" s="448"/>
      <c r="D135" s="448"/>
      <c r="E135" s="448"/>
      <c r="F135" s="448"/>
      <c r="G135" s="448"/>
      <c r="H135" s="841"/>
      <c r="I135" s="454"/>
    </row>
    <row r="136" spans="1:9" ht="18" customHeight="1" x14ac:dyDescent="0.15">
      <c r="A136" s="838" t="s">
        <v>826</v>
      </c>
      <c r="B136" s="1398" t="s">
        <v>827</v>
      </c>
      <c r="C136" s="1398"/>
      <c r="D136" s="1398"/>
      <c r="E136" s="1398"/>
      <c r="F136" s="448"/>
      <c r="G136" s="842" t="s">
        <v>828</v>
      </c>
      <c r="H136" s="841"/>
      <c r="I136" s="405"/>
    </row>
    <row r="137" spans="1:9" ht="15" customHeight="1" x14ac:dyDescent="0.15">
      <c r="B137" s="448"/>
      <c r="C137" s="1418" t="s">
        <v>829</v>
      </c>
      <c r="D137" s="1418"/>
      <c r="E137" s="1418"/>
      <c r="F137" s="455" t="s">
        <v>830</v>
      </c>
      <c r="G137" s="843"/>
      <c r="H137" s="844"/>
      <c r="I137" s="405"/>
    </row>
    <row r="138" spans="1:9" ht="15" customHeight="1" x14ac:dyDescent="0.15">
      <c r="C138" s="845" t="s">
        <v>831</v>
      </c>
      <c r="D138" s="846"/>
      <c r="E138" s="847"/>
      <c r="F138" s="457">
        <v>0</v>
      </c>
      <c r="G138" s="848" t="str">
        <f t="shared" ref="G138:G147" si="0">IF(F138="","RISPOSTA OBBLIGATORIA","")</f>
        <v/>
      </c>
      <c r="H138" s="1215"/>
      <c r="I138" s="460">
        <f>F138</f>
        <v>0</v>
      </c>
    </row>
    <row r="139" spans="1:9" ht="15" customHeight="1" x14ac:dyDescent="0.15">
      <c r="C139" s="845" t="s">
        <v>1003</v>
      </c>
      <c r="D139" s="849"/>
      <c r="E139" s="850"/>
      <c r="F139" s="457">
        <v>0</v>
      </c>
      <c r="G139" s="848" t="str">
        <f t="shared" si="0"/>
        <v/>
      </c>
      <c r="H139" s="1215"/>
      <c r="I139" s="460">
        <f t="shared" ref="I139:I147" si="1">F139</f>
        <v>0</v>
      </c>
    </row>
    <row r="140" spans="1:9" ht="15" hidden="1" customHeight="1" x14ac:dyDescent="0.15">
      <c r="C140" s="1294">
        <v>71</v>
      </c>
      <c r="D140" s="849"/>
      <c r="E140" s="850"/>
      <c r="F140" s="457">
        <v>0</v>
      </c>
      <c r="G140" s="848" t="str">
        <f t="shared" si="0"/>
        <v/>
      </c>
      <c r="H140" s="1215"/>
      <c r="I140" s="460">
        <f t="shared" si="1"/>
        <v>0</v>
      </c>
    </row>
    <row r="141" spans="1:9" ht="15" customHeight="1" x14ac:dyDescent="0.15">
      <c r="C141" s="845" t="s">
        <v>832</v>
      </c>
      <c r="D141" s="849"/>
      <c r="E141" s="850"/>
      <c r="F141" s="457">
        <v>0</v>
      </c>
      <c r="G141" s="848" t="str">
        <f t="shared" si="0"/>
        <v/>
      </c>
      <c r="H141" s="1215"/>
      <c r="I141" s="460">
        <f t="shared" si="1"/>
        <v>0</v>
      </c>
    </row>
    <row r="142" spans="1:9" ht="15" customHeight="1" x14ac:dyDescent="0.15">
      <c r="C142" s="845" t="s">
        <v>833</v>
      </c>
      <c r="D142" s="849"/>
      <c r="E142" s="850"/>
      <c r="F142" s="457">
        <v>0</v>
      </c>
      <c r="G142" s="848" t="str">
        <f t="shared" si="0"/>
        <v/>
      </c>
      <c r="H142" s="1215"/>
      <c r="I142" s="460">
        <f t="shared" si="1"/>
        <v>0</v>
      </c>
    </row>
    <row r="143" spans="1:9" ht="15" customHeight="1" x14ac:dyDescent="0.15">
      <c r="C143" s="845" t="s">
        <v>834</v>
      </c>
      <c r="D143" s="849"/>
      <c r="E143" s="850"/>
      <c r="F143" s="457">
        <v>0</v>
      </c>
      <c r="G143" s="848" t="str">
        <f t="shared" si="0"/>
        <v/>
      </c>
      <c r="H143" s="1215"/>
      <c r="I143" s="460">
        <f t="shared" si="1"/>
        <v>0</v>
      </c>
    </row>
    <row r="144" spans="1:9" ht="15" customHeight="1" x14ac:dyDescent="0.15">
      <c r="C144" s="845" t="s">
        <v>835</v>
      </c>
      <c r="D144" s="849"/>
      <c r="E144" s="850"/>
      <c r="F144" s="457">
        <v>0</v>
      </c>
      <c r="G144" s="848" t="str">
        <f t="shared" si="0"/>
        <v/>
      </c>
      <c r="H144" s="1215"/>
      <c r="I144" s="460">
        <f t="shared" si="1"/>
        <v>0</v>
      </c>
    </row>
    <row r="145" spans="1:9" ht="15" customHeight="1" x14ac:dyDescent="0.15">
      <c r="C145" s="845" t="s">
        <v>836</v>
      </c>
      <c r="D145" s="849"/>
      <c r="E145" s="850"/>
      <c r="F145" s="457">
        <v>0</v>
      </c>
      <c r="G145" s="848" t="str">
        <f t="shared" si="0"/>
        <v/>
      </c>
      <c r="H145" s="1215"/>
      <c r="I145" s="460">
        <f t="shared" si="1"/>
        <v>0</v>
      </c>
    </row>
    <row r="146" spans="1:9" ht="15" customHeight="1" x14ac:dyDescent="0.15">
      <c r="C146" s="845" t="s">
        <v>837</v>
      </c>
      <c r="D146" s="849"/>
      <c r="E146" s="850"/>
      <c r="F146" s="457">
        <v>0</v>
      </c>
      <c r="G146" s="848" t="str">
        <f t="shared" si="0"/>
        <v/>
      </c>
      <c r="H146" s="1215"/>
      <c r="I146" s="460">
        <f t="shared" si="1"/>
        <v>0</v>
      </c>
    </row>
    <row r="147" spans="1:9" ht="15" customHeight="1" x14ac:dyDescent="0.15">
      <c r="C147" s="845" t="s">
        <v>838</v>
      </c>
      <c r="D147" s="849"/>
      <c r="E147" s="850"/>
      <c r="F147" s="457">
        <v>0</v>
      </c>
      <c r="G147" s="848" t="str">
        <f t="shared" si="0"/>
        <v/>
      </c>
      <c r="H147" s="1215"/>
      <c r="I147" s="460">
        <f t="shared" si="1"/>
        <v>0</v>
      </c>
    </row>
    <row r="148" spans="1:9" ht="15" customHeight="1" x14ac:dyDescent="0.15">
      <c r="B148" s="448"/>
      <c r="C148" s="448"/>
      <c r="D148" s="448"/>
      <c r="E148" s="448"/>
      <c r="F148" s="1296">
        <f>SUM(F138:F147)</f>
        <v>0</v>
      </c>
      <c r="G148" s="851"/>
      <c r="H148" s="852"/>
      <c r="I148" s="405"/>
    </row>
    <row r="149" spans="1:9" ht="36" customHeight="1" x14ac:dyDescent="0.15">
      <c r="A149" s="838" t="s">
        <v>839</v>
      </c>
      <c r="B149" s="1398" t="s">
        <v>1004</v>
      </c>
      <c r="C149" s="1398"/>
      <c r="D149" s="1398"/>
      <c r="E149" s="1398"/>
      <c r="F149" s="448"/>
      <c r="G149" s="842" t="s">
        <v>840</v>
      </c>
      <c r="H149" s="841"/>
      <c r="I149" s="405"/>
    </row>
    <row r="150" spans="1:9" ht="15" customHeight="1" x14ac:dyDescent="0.15">
      <c r="B150" s="448"/>
      <c r="C150" s="1418" t="s">
        <v>829</v>
      </c>
      <c r="D150" s="1418"/>
      <c r="E150" s="1418"/>
      <c r="F150" s="455" t="s">
        <v>858</v>
      </c>
      <c r="G150" s="843"/>
      <c r="H150" s="844"/>
      <c r="I150" s="405"/>
    </row>
    <row r="151" spans="1:9" ht="15" customHeight="1" x14ac:dyDescent="0.15">
      <c r="C151" s="845" t="s">
        <v>841</v>
      </c>
      <c r="D151" s="846"/>
      <c r="E151" s="847"/>
      <c r="F151" s="457">
        <v>0</v>
      </c>
      <c r="G151" s="848" t="str">
        <f t="shared" ref="G151:G159" si="2">IF(F151="","RISPOSTA OBBLIGATORIA","")</f>
        <v/>
      </c>
      <c r="H151" s="1215"/>
      <c r="I151" s="460">
        <f>F151</f>
        <v>0</v>
      </c>
    </row>
    <row r="152" spans="1:9" ht="15" customHeight="1" x14ac:dyDescent="0.15">
      <c r="C152" s="845" t="s">
        <v>842</v>
      </c>
      <c r="D152" s="849"/>
      <c r="E152" s="850"/>
      <c r="F152" s="457">
        <v>0</v>
      </c>
      <c r="G152" s="848" t="str">
        <f t="shared" si="2"/>
        <v/>
      </c>
      <c r="H152" s="1215"/>
      <c r="I152" s="460">
        <f t="shared" ref="I152:I159" si="3">F152</f>
        <v>0</v>
      </c>
    </row>
    <row r="153" spans="1:9" ht="15" customHeight="1" x14ac:dyDescent="0.15">
      <c r="C153" s="845" t="s">
        <v>843</v>
      </c>
      <c r="D153" s="849"/>
      <c r="E153" s="850"/>
      <c r="F153" s="457">
        <v>0</v>
      </c>
      <c r="G153" s="848" t="str">
        <f t="shared" si="2"/>
        <v/>
      </c>
      <c r="H153" s="1215"/>
      <c r="I153" s="460">
        <f t="shared" si="3"/>
        <v>0</v>
      </c>
    </row>
    <row r="154" spans="1:9" ht="15" customHeight="1" x14ac:dyDescent="0.15">
      <c r="C154" s="845" t="s">
        <v>844</v>
      </c>
      <c r="D154" s="849"/>
      <c r="E154" s="850"/>
      <c r="F154" s="457">
        <v>0</v>
      </c>
      <c r="G154" s="848" t="str">
        <f t="shared" si="2"/>
        <v/>
      </c>
      <c r="H154" s="1215"/>
      <c r="I154" s="460">
        <f t="shared" si="3"/>
        <v>0</v>
      </c>
    </row>
    <row r="155" spans="1:9" ht="15" customHeight="1" x14ac:dyDescent="0.15">
      <c r="C155" s="845" t="s">
        <v>845</v>
      </c>
      <c r="D155" s="849"/>
      <c r="E155" s="850"/>
      <c r="F155" s="457">
        <v>0</v>
      </c>
      <c r="G155" s="848" t="str">
        <f t="shared" si="2"/>
        <v/>
      </c>
      <c r="H155" s="1215"/>
      <c r="I155" s="460">
        <f t="shared" si="3"/>
        <v>0</v>
      </c>
    </row>
    <row r="156" spans="1:9" ht="15" customHeight="1" x14ac:dyDescent="0.15">
      <c r="C156" s="845" t="s">
        <v>846</v>
      </c>
      <c r="D156" s="849"/>
      <c r="E156" s="850"/>
      <c r="F156" s="457">
        <v>0</v>
      </c>
      <c r="G156" s="848" t="str">
        <f t="shared" si="2"/>
        <v/>
      </c>
      <c r="H156" s="1215"/>
      <c r="I156" s="460">
        <f t="shared" si="3"/>
        <v>0</v>
      </c>
    </row>
    <row r="157" spans="1:9" ht="15" customHeight="1" x14ac:dyDescent="0.15">
      <c r="C157" s="845" t="s">
        <v>847</v>
      </c>
      <c r="D157" s="849"/>
      <c r="E157" s="850"/>
      <c r="F157" s="457">
        <v>0</v>
      </c>
      <c r="G157" s="848" t="str">
        <f t="shared" si="2"/>
        <v/>
      </c>
      <c r="H157" s="1215"/>
      <c r="I157" s="460">
        <f t="shared" si="3"/>
        <v>0</v>
      </c>
    </row>
    <row r="158" spans="1:9" ht="15" customHeight="1" x14ac:dyDescent="0.15">
      <c r="C158" s="845" t="s">
        <v>848</v>
      </c>
      <c r="D158" s="849"/>
      <c r="E158" s="850"/>
      <c r="F158" s="457">
        <v>0</v>
      </c>
      <c r="G158" s="848" t="str">
        <f t="shared" si="2"/>
        <v/>
      </c>
      <c r="H158" s="1215"/>
      <c r="I158" s="460">
        <f t="shared" si="3"/>
        <v>0</v>
      </c>
    </row>
    <row r="159" spans="1:9" ht="15" customHeight="1" x14ac:dyDescent="0.15">
      <c r="C159" s="845" t="s">
        <v>849</v>
      </c>
      <c r="D159" s="849"/>
      <c r="E159" s="850"/>
      <c r="F159" s="457">
        <v>0</v>
      </c>
      <c r="G159" s="848" t="str">
        <f t="shared" si="2"/>
        <v/>
      </c>
      <c r="H159" s="1215"/>
      <c r="I159" s="460">
        <f t="shared" si="3"/>
        <v>0</v>
      </c>
    </row>
    <row r="160" spans="1:9" ht="15" customHeight="1" x14ac:dyDescent="0.15">
      <c r="B160" s="448"/>
      <c r="C160" s="448"/>
      <c r="D160" s="448"/>
      <c r="E160" s="448"/>
      <c r="F160" s="448"/>
      <c r="G160" s="448"/>
      <c r="H160" s="841"/>
      <c r="I160" s="405"/>
    </row>
    <row r="161" spans="1:10" ht="15" customHeight="1" x14ac:dyDescent="0.15">
      <c r="A161" s="838" t="s">
        <v>850</v>
      </c>
      <c r="B161" s="1398" t="s">
        <v>851</v>
      </c>
      <c r="C161" s="1398"/>
      <c r="D161" s="1398"/>
      <c r="E161" s="1398"/>
      <c r="F161" s="455" t="s">
        <v>271</v>
      </c>
      <c r="G161" s="455" t="s">
        <v>272</v>
      </c>
      <c r="H161" s="841"/>
    </row>
    <row r="162" spans="1:10" ht="21" customHeight="1" x14ac:dyDescent="0.15">
      <c r="B162" s="448"/>
      <c r="C162" s="1419" t="s">
        <v>852</v>
      </c>
      <c r="D162" s="1419"/>
      <c r="E162" s="1419"/>
      <c r="F162" s="431"/>
      <c r="G162" s="431"/>
      <c r="H162" s="853" t="str">
        <f>IF(I162=0,"RISPOSTA OBBLIGATORIA","")</f>
        <v>RISPOSTA OBBLIGATORIA</v>
      </c>
      <c r="I162" s="481">
        <v>0</v>
      </c>
      <c r="J162" s="480" t="str">
        <f>IF(I162=1,"VERO",IF(I162=2,"FALSO",""))</f>
        <v/>
      </c>
    </row>
    <row r="163" spans="1:10" ht="21" customHeight="1" x14ac:dyDescent="0.15">
      <c r="B163" s="448"/>
      <c r="C163" s="1419" t="s">
        <v>853</v>
      </c>
      <c r="D163" s="1419"/>
      <c r="E163" s="1419"/>
      <c r="F163" s="431"/>
      <c r="G163" s="431"/>
      <c r="H163" s="853" t="str">
        <f>IF(I163=0,"RISPOSTA OBBLIGATORIA","")</f>
        <v>RISPOSTA OBBLIGATORIA</v>
      </c>
      <c r="I163" s="481">
        <v>0</v>
      </c>
      <c r="J163" s="480" t="str">
        <f>IF(I163=1,"VERO",IF(I163=2,"FALSO",""))</f>
        <v/>
      </c>
    </row>
    <row r="164" spans="1:10" ht="21" customHeight="1" x14ac:dyDescent="0.15">
      <c r="B164" s="448"/>
      <c r="C164" s="1419" t="s">
        <v>854</v>
      </c>
      <c r="D164" s="1419"/>
      <c r="E164" s="1419"/>
      <c r="F164" s="431"/>
      <c r="G164" s="431"/>
      <c r="H164" s="853" t="str">
        <f>IF(I164=0,"RISPOSTA OBBLIGATORIA","")</f>
        <v>RISPOSTA OBBLIGATORIA</v>
      </c>
      <c r="I164" s="481">
        <v>0</v>
      </c>
      <c r="J164" s="480" t="str">
        <f>IF(I164=1,"VERO",IF(I164=2,"FALSO",""))</f>
        <v/>
      </c>
    </row>
    <row r="165" spans="1:10" ht="21" customHeight="1" x14ac:dyDescent="0.15">
      <c r="B165" s="448"/>
      <c r="C165" s="1419" t="s">
        <v>855</v>
      </c>
      <c r="D165" s="1419"/>
      <c r="E165" s="1419"/>
      <c r="F165" s="431"/>
      <c r="G165" s="431"/>
      <c r="H165" s="853" t="str">
        <f>IF(I165=0,"RISPOSTA OBBLIGATORIA","")</f>
        <v>RISPOSTA OBBLIGATORIA</v>
      </c>
      <c r="I165" s="481">
        <v>0</v>
      </c>
      <c r="J165" s="480" t="str">
        <f>IF(I165=1,"VERO",IF(I165=2,"FALSO",""))</f>
        <v/>
      </c>
    </row>
    <row r="166" spans="1:10" ht="21" customHeight="1" x14ac:dyDescent="0.15">
      <c r="B166" s="448"/>
      <c r="C166" s="1419" t="s">
        <v>856</v>
      </c>
      <c r="D166" s="1419"/>
      <c r="E166" s="1419"/>
      <c r="F166" s="431"/>
      <c r="G166" s="431"/>
      <c r="H166" s="853" t="str">
        <f>IF(I166=0,"RISPOSTA OBBLIGATORIA","")</f>
        <v>RISPOSTA OBBLIGATORIA</v>
      </c>
      <c r="I166" s="481">
        <v>0</v>
      </c>
      <c r="J166" s="480" t="str">
        <f>IF(I166=1,"VERO",IF(I166=2,"FALSO",""))</f>
        <v/>
      </c>
    </row>
    <row r="167" spans="1:10" ht="15" customHeight="1" x14ac:dyDescent="0.15">
      <c r="B167" s="448"/>
      <c r="C167" s="448"/>
      <c r="D167" s="448"/>
      <c r="E167" s="448"/>
      <c r="F167" s="448"/>
      <c r="G167" s="448"/>
      <c r="H167" s="841"/>
      <c r="I167" s="405"/>
    </row>
    <row r="168" spans="1:10" ht="15" customHeight="1" x14ac:dyDescent="0.15">
      <c r="A168" s="480"/>
      <c r="B168" s="480"/>
      <c r="C168" s="480"/>
      <c r="D168" s="480"/>
      <c r="E168" s="480"/>
      <c r="F168" s="455" t="s">
        <v>411</v>
      </c>
      <c r="G168" s="448"/>
      <c r="H168" s="841"/>
      <c r="I168" s="454"/>
    </row>
    <row r="169" spans="1:10" ht="35.85" customHeight="1" x14ac:dyDescent="0.15">
      <c r="A169" s="1297" t="s">
        <v>1005</v>
      </c>
      <c r="B169" s="1398" t="s">
        <v>1006</v>
      </c>
      <c r="C169" s="1398"/>
      <c r="D169" s="1398"/>
      <c r="E169" s="1415"/>
      <c r="F169" s="457">
        <v>0</v>
      </c>
      <c r="G169" s="448"/>
      <c r="H169" s="841"/>
      <c r="I169" s="301">
        <f>F169</f>
        <v>0</v>
      </c>
    </row>
    <row r="170" spans="1:10" ht="15" customHeight="1" x14ac:dyDescent="0.15">
      <c r="A170" s="556"/>
      <c r="B170" s="448"/>
      <c r="C170" s="448"/>
      <c r="D170" s="448"/>
      <c r="E170" s="448"/>
      <c r="F170" s="448"/>
      <c r="G170" s="448"/>
      <c r="H170" s="841"/>
      <c r="I170" s="454"/>
    </row>
    <row r="171" spans="1:10" ht="15" customHeight="1" x14ac:dyDescent="0.15">
      <c r="A171" s="1286"/>
      <c r="B171" s="480"/>
      <c r="C171" s="480"/>
      <c r="D171" s="480"/>
      <c r="E171" s="480"/>
      <c r="F171" s="455" t="s">
        <v>1007</v>
      </c>
      <c r="G171" s="455" t="s">
        <v>1008</v>
      </c>
      <c r="H171" s="841"/>
      <c r="I171" s="454"/>
    </row>
    <row r="172" spans="1:10" ht="36.6" customHeight="1" x14ac:dyDescent="0.15">
      <c r="A172" s="1297" t="s">
        <v>1009</v>
      </c>
      <c r="B172" s="1398" t="s">
        <v>1010</v>
      </c>
      <c r="C172" s="1398"/>
      <c r="D172" s="1398"/>
      <c r="E172" s="1398"/>
      <c r="F172" s="431"/>
      <c r="G172" s="431"/>
      <c r="H172" s="1298" t="str">
        <f>IF(I172=0,"RISPOSTA OBBLIGATORIA","")</f>
        <v>RISPOSTA OBBLIGATORIA</v>
      </c>
      <c r="I172" s="454">
        <v>0</v>
      </c>
      <c r="J172" s="480" t="str">
        <f>IF(I172=1,"VERO",IF(I172=2,"FALSO",""))</f>
        <v/>
      </c>
    </row>
    <row r="173" spans="1:10" ht="15" customHeight="1" x14ac:dyDescent="0.15">
      <c r="B173" s="448"/>
      <c r="C173" s="448"/>
      <c r="D173" s="448"/>
      <c r="E173" s="448"/>
      <c r="F173" s="448"/>
      <c r="G173" s="448"/>
      <c r="H173" s="841"/>
      <c r="I173" s="405"/>
    </row>
    <row r="174" spans="1:10" ht="27.75" customHeight="1" x14ac:dyDescent="0.15">
      <c r="A174" s="838" t="s">
        <v>1011</v>
      </c>
      <c r="B174" s="1398" t="s">
        <v>1012</v>
      </c>
      <c r="C174" s="1398"/>
      <c r="D174" s="1398"/>
      <c r="E174" s="1398"/>
      <c r="F174" s="480"/>
      <c r="G174" s="448"/>
      <c r="H174" s="841"/>
      <c r="I174" s="405"/>
    </row>
    <row r="175" spans="1:10" ht="15" customHeight="1" x14ac:dyDescent="0.15">
      <c r="B175" s="1216"/>
      <c r="C175" s="1216"/>
      <c r="D175" s="1216"/>
      <c r="E175" s="1216"/>
      <c r="F175" s="455" t="s">
        <v>411</v>
      </c>
      <c r="G175" s="448"/>
      <c r="H175" s="841"/>
      <c r="I175" s="405"/>
    </row>
    <row r="176" spans="1:10" ht="20.85" customHeight="1" x14ac:dyDescent="0.15">
      <c r="B176" s="480"/>
      <c r="C176" s="1419" t="s">
        <v>1013</v>
      </c>
      <c r="D176" s="1419"/>
      <c r="E176" s="1419"/>
      <c r="F176" s="457">
        <v>0</v>
      </c>
      <c r="G176" s="448"/>
      <c r="H176" s="841"/>
      <c r="I176" s="460">
        <f>F176</f>
        <v>0</v>
      </c>
    </row>
    <row r="177" spans="1:9" ht="20.85" customHeight="1" x14ac:dyDescent="0.15">
      <c r="B177" s="480"/>
      <c r="C177" s="1419" t="s">
        <v>1014</v>
      </c>
      <c r="D177" s="1419"/>
      <c r="E177" s="1419"/>
      <c r="F177" s="457">
        <v>0</v>
      </c>
      <c r="G177" s="448"/>
      <c r="H177" s="841"/>
      <c r="I177" s="460">
        <f>F177</f>
        <v>0</v>
      </c>
    </row>
    <row r="178" spans="1:9" ht="20.85" customHeight="1" x14ac:dyDescent="0.15">
      <c r="B178" s="480"/>
      <c r="C178" s="1419" t="s">
        <v>1015</v>
      </c>
      <c r="D178" s="1419"/>
      <c r="E178" s="1419"/>
      <c r="F178" s="457">
        <v>0</v>
      </c>
      <c r="G178" s="448"/>
      <c r="H178" s="841"/>
      <c r="I178" s="460">
        <f>F178</f>
        <v>0</v>
      </c>
    </row>
    <row r="179" spans="1:9" ht="15" customHeight="1" x14ac:dyDescent="0.15">
      <c r="B179" s="448"/>
      <c r="C179" s="448"/>
      <c r="D179" s="448"/>
      <c r="E179" s="448"/>
      <c r="F179" s="448"/>
      <c r="G179" s="448"/>
      <c r="H179" s="841"/>
      <c r="I179" s="405"/>
    </row>
    <row r="180" spans="1:9" ht="27.75" customHeight="1" x14ac:dyDescent="0.15">
      <c r="A180" s="838" t="s">
        <v>1016</v>
      </c>
      <c r="B180" s="1398" t="s">
        <v>1017</v>
      </c>
      <c r="C180" s="1398"/>
      <c r="D180" s="1398"/>
      <c r="E180" s="1398"/>
      <c r="F180" s="1398"/>
      <c r="G180" s="448"/>
      <c r="H180" s="841"/>
      <c r="I180" s="405"/>
    </row>
    <row r="181" spans="1:9" ht="15" customHeight="1" x14ac:dyDescent="0.15">
      <c r="B181" s="480"/>
      <c r="C181" s="480"/>
      <c r="D181" s="480"/>
      <c r="E181" s="448"/>
      <c r="F181" s="455" t="s">
        <v>411</v>
      </c>
      <c r="G181" s="448"/>
      <c r="H181" s="841"/>
      <c r="I181" s="405"/>
    </row>
    <row r="182" spans="1:9" ht="20.85" customHeight="1" x14ac:dyDescent="0.15">
      <c r="B182" s="480"/>
      <c r="C182" s="1419" t="s">
        <v>1018</v>
      </c>
      <c r="D182" s="1419"/>
      <c r="E182" s="1419"/>
      <c r="F182" s="457">
        <v>0</v>
      </c>
      <c r="G182" s="448"/>
      <c r="H182" s="841"/>
      <c r="I182" s="460">
        <f>F182</f>
        <v>0</v>
      </c>
    </row>
    <row r="183" spans="1:9" ht="20.85" customHeight="1" x14ac:dyDescent="0.15">
      <c r="B183" s="480"/>
      <c r="C183" s="1419" t="s">
        <v>1019</v>
      </c>
      <c r="D183" s="1419"/>
      <c r="E183" s="1419"/>
      <c r="F183" s="457">
        <v>0</v>
      </c>
      <c r="G183" s="448"/>
      <c r="H183" s="841"/>
      <c r="I183" s="460">
        <f>F183</f>
        <v>0</v>
      </c>
    </row>
    <row r="184" spans="1:9" ht="20.85" customHeight="1" x14ac:dyDescent="0.15">
      <c r="B184" s="448"/>
      <c r="C184" s="1419" t="s">
        <v>1020</v>
      </c>
      <c r="D184" s="1419"/>
      <c r="E184" s="1419"/>
      <c r="F184" s="457">
        <v>0</v>
      </c>
      <c r="G184" s="448"/>
      <c r="H184" s="841"/>
      <c r="I184" s="460">
        <f>F184</f>
        <v>0</v>
      </c>
    </row>
    <row r="185" spans="1:9" ht="15" customHeight="1" x14ac:dyDescent="0.15">
      <c r="B185" s="448"/>
      <c r="C185" s="480"/>
      <c r="D185" s="480"/>
      <c r="E185" s="480"/>
      <c r="F185" s="448"/>
      <c r="G185" s="448"/>
      <c r="H185" s="841"/>
      <c r="I185" s="405"/>
    </row>
    <row r="186" spans="1:9" ht="27.75" customHeight="1" x14ac:dyDescent="0.15">
      <c r="A186" s="838" t="s">
        <v>1021</v>
      </c>
      <c r="B186" s="1398" t="s">
        <v>1022</v>
      </c>
      <c r="C186" s="1398"/>
      <c r="D186" s="1398"/>
      <c r="E186" s="1398"/>
      <c r="F186" s="448"/>
      <c r="G186" s="448"/>
      <c r="H186" s="841"/>
      <c r="I186" s="405"/>
    </row>
    <row r="187" spans="1:9" ht="15" customHeight="1" x14ac:dyDescent="0.15">
      <c r="B187" s="480"/>
      <c r="C187" s="480"/>
      <c r="D187" s="480"/>
      <c r="E187" s="480"/>
      <c r="F187" s="455" t="s">
        <v>411</v>
      </c>
      <c r="G187" s="448"/>
      <c r="H187" s="841"/>
      <c r="I187" s="405"/>
    </row>
    <row r="188" spans="1:9" ht="20.85" customHeight="1" x14ac:dyDescent="0.15">
      <c r="B188" s="480"/>
      <c r="C188" s="1419" t="s">
        <v>1023</v>
      </c>
      <c r="D188" s="1419"/>
      <c r="E188" s="1419"/>
      <c r="F188" s="457">
        <v>0</v>
      </c>
      <c r="G188" s="448"/>
      <c r="H188" s="841"/>
      <c r="I188" s="460">
        <f>F188</f>
        <v>0</v>
      </c>
    </row>
    <row r="189" spans="1:9" ht="20.85" customHeight="1" x14ac:dyDescent="0.15">
      <c r="B189" s="480"/>
      <c r="C189" s="1419" t="s">
        <v>1024</v>
      </c>
      <c r="D189" s="1419"/>
      <c r="E189" s="1419"/>
      <c r="F189" s="457">
        <v>0</v>
      </c>
      <c r="G189" s="448"/>
      <c r="H189" s="841"/>
      <c r="I189" s="460">
        <f>F189</f>
        <v>0</v>
      </c>
    </row>
    <row r="190" spans="1:9" ht="20.85" customHeight="1" x14ac:dyDescent="0.15">
      <c r="B190" s="1420" t="s">
        <v>1025</v>
      </c>
      <c r="C190" s="1420"/>
      <c r="D190" s="1420"/>
      <c r="E190" s="480"/>
      <c r="F190" s="480"/>
      <c r="G190" s="480"/>
      <c r="H190" s="841"/>
      <c r="I190" s="405"/>
    </row>
    <row r="191" spans="1:9" ht="20.85" customHeight="1" x14ac:dyDescent="0.15">
      <c r="B191" s="480"/>
      <c r="C191" s="1419" t="s">
        <v>1026</v>
      </c>
      <c r="D191" s="1419"/>
      <c r="E191" s="1419"/>
      <c r="F191" s="457">
        <v>0</v>
      </c>
      <c r="G191" s="448"/>
      <c r="H191" s="1433" t="str">
        <f>IF(F191+F192+F193=F188+F189," ","ATTENZIONE!
Il totale delle persone indicate nelle domande 111, 112 e 113 DEVE essere uguale al totale delle persone indicate nelle domande 109 e 110")</f>
        <v xml:space="preserve"> </v>
      </c>
      <c r="I191" s="460">
        <f>F191</f>
        <v>0</v>
      </c>
    </row>
    <row r="192" spans="1:9" ht="20.85" customHeight="1" x14ac:dyDescent="0.15">
      <c r="B192" s="480"/>
      <c r="C192" s="1419" t="s">
        <v>1027</v>
      </c>
      <c r="D192" s="1419"/>
      <c r="E192" s="1419"/>
      <c r="F192" s="457">
        <v>0</v>
      </c>
      <c r="G192" s="448"/>
      <c r="H192" s="1433"/>
      <c r="I192" s="460">
        <f>F192</f>
        <v>0</v>
      </c>
    </row>
    <row r="193" spans="1:10" ht="20.85" customHeight="1" x14ac:dyDescent="0.15">
      <c r="B193" s="448"/>
      <c r="C193" s="1419" t="s">
        <v>1028</v>
      </c>
      <c r="D193" s="1419"/>
      <c r="E193" s="1419"/>
      <c r="F193" s="457">
        <v>0</v>
      </c>
      <c r="G193" s="448"/>
      <c r="H193" s="1433"/>
      <c r="I193" s="460">
        <f>F193</f>
        <v>0</v>
      </c>
    </row>
    <row r="194" spans="1:10" ht="15" customHeight="1" x14ac:dyDescent="0.15">
      <c r="B194" s="448"/>
      <c r="C194" s="448"/>
      <c r="D194" s="448"/>
      <c r="E194" s="448"/>
      <c r="F194" s="448"/>
      <c r="G194" s="448"/>
      <c r="H194" s="841"/>
      <c r="I194" s="405"/>
    </row>
    <row r="195" spans="1:10" ht="15" customHeight="1" x14ac:dyDescent="0.15">
      <c r="B195" s="448"/>
      <c r="C195" s="448"/>
      <c r="D195" s="448"/>
      <c r="E195" s="448"/>
      <c r="F195" s="455" t="s">
        <v>411</v>
      </c>
      <c r="G195" s="448"/>
      <c r="H195" s="841"/>
      <c r="I195" s="405"/>
    </row>
    <row r="196" spans="1:10" ht="44.85" customHeight="1" x14ac:dyDescent="0.15">
      <c r="A196" s="838" t="s">
        <v>1029</v>
      </c>
      <c r="B196" s="1398" t="s">
        <v>1030</v>
      </c>
      <c r="C196" s="1398"/>
      <c r="D196" s="1398"/>
      <c r="E196" s="1398"/>
      <c r="F196" s="457">
        <v>0</v>
      </c>
      <c r="G196" s="448"/>
      <c r="H196" s="1299" t="str">
        <f>IF(F196&gt;(F176+F177+F178),"ATTENZIONE!
Il numero delle persone indicate nella domanda DEVE essere minore od uguale alla totale delle persone indicate nelle domande 101, 102 e 103."," ")</f>
        <v xml:space="preserve"> </v>
      </c>
      <c r="I196" s="480">
        <f>F196</f>
        <v>0</v>
      </c>
    </row>
    <row r="197" spans="1:10" ht="15" customHeight="1" x14ac:dyDescent="0.15">
      <c r="B197" s="448"/>
      <c r="C197" s="448"/>
      <c r="D197" s="448"/>
      <c r="E197" s="448"/>
      <c r="F197" s="448"/>
      <c r="G197" s="448"/>
      <c r="H197" s="841"/>
      <c r="I197" s="405"/>
    </row>
    <row r="198" spans="1:10" ht="45" customHeight="1" x14ac:dyDescent="0.15">
      <c r="A198" s="838" t="s">
        <v>1031</v>
      </c>
      <c r="B198" s="1398" t="s">
        <v>1032</v>
      </c>
      <c r="C198" s="1398"/>
      <c r="D198" s="1398"/>
      <c r="E198" s="1398"/>
      <c r="F198" s="457">
        <v>0</v>
      </c>
      <c r="G198" s="448"/>
      <c r="H198" s="1299" t="str">
        <f>IF(F198&gt;(F188+F189),"ATTENZIONE!
Il numero delle persone indicate nella domanda DEVE essere minore od uguale alla totale delle persone indicate nelle domande 109 e 110."," ")</f>
        <v xml:space="preserve"> </v>
      </c>
      <c r="I198" s="480">
        <f>F198</f>
        <v>0</v>
      </c>
    </row>
    <row r="199" spans="1:10" ht="15" customHeight="1" x14ac:dyDescent="0.15">
      <c r="B199" s="448"/>
      <c r="C199" s="448"/>
      <c r="D199" s="448"/>
      <c r="E199" s="448"/>
      <c r="F199" s="448"/>
      <c r="G199" s="448"/>
      <c r="H199" s="841"/>
      <c r="I199" s="405"/>
    </row>
    <row r="200" spans="1:10" ht="15" customHeight="1" x14ac:dyDescent="0.15">
      <c r="B200" s="448"/>
      <c r="C200" s="448"/>
      <c r="D200" s="448"/>
      <c r="E200" s="448"/>
      <c r="F200" s="448"/>
      <c r="G200" s="448"/>
      <c r="H200" s="841"/>
      <c r="I200" s="405"/>
    </row>
    <row r="201" spans="1:10" ht="15" customHeight="1" x14ac:dyDescent="0.15">
      <c r="B201" s="1421" t="s">
        <v>413</v>
      </c>
      <c r="C201" s="1399"/>
      <c r="D201" s="1400"/>
      <c r="E201" s="457"/>
      <c r="F201" s="1426" t="str">
        <f>IF(E201:E250=0,"RISPOSTA OBBLIGATORIA","")</f>
        <v>RISPOSTA OBBLIGATORIA</v>
      </c>
      <c r="G201" s="1438"/>
      <c r="H201" s="1439"/>
      <c r="I201" s="454"/>
    </row>
    <row r="202" spans="1:10" ht="15" customHeight="1" x14ac:dyDescent="0.15">
      <c r="B202" s="1399"/>
      <c r="C202" s="1399"/>
      <c r="D202" s="1400"/>
      <c r="E202" s="461"/>
      <c r="F202" s="1440"/>
      <c r="G202" s="1441"/>
      <c r="H202" s="1442"/>
      <c r="I202" s="405"/>
    </row>
    <row r="203" spans="1:10" ht="15" customHeight="1" x14ac:dyDescent="0.15">
      <c r="A203" s="1272"/>
      <c r="B203" s="1399"/>
      <c r="C203" s="1399"/>
      <c r="D203" s="1400"/>
      <c r="E203" s="461"/>
      <c r="F203" s="1440"/>
      <c r="G203" s="1441"/>
      <c r="H203" s="1442"/>
      <c r="I203" s="405"/>
    </row>
    <row r="204" spans="1:10" ht="15" customHeight="1" x14ac:dyDescent="0.15">
      <c r="A204" s="1272"/>
      <c r="B204" s="1399"/>
      <c r="C204" s="1399"/>
      <c r="D204" s="1400"/>
      <c r="E204" s="461"/>
      <c r="F204" s="1440"/>
      <c r="G204" s="1441"/>
      <c r="H204" s="1442"/>
      <c r="I204" s="405"/>
    </row>
    <row r="205" spans="1:10" ht="15" customHeight="1" x14ac:dyDescent="0.15">
      <c r="A205" s="1272"/>
      <c r="B205" s="1399"/>
      <c r="C205" s="1399"/>
      <c r="D205" s="1400"/>
      <c r="E205" s="461"/>
      <c r="F205" s="1440"/>
      <c r="G205" s="1441"/>
      <c r="H205" s="1442"/>
      <c r="I205" s="405"/>
    </row>
    <row r="206" spans="1:10" ht="15" customHeight="1" x14ac:dyDescent="0.15">
      <c r="A206" s="1272"/>
      <c r="B206" s="1399"/>
      <c r="C206" s="1399"/>
      <c r="D206" s="1400"/>
      <c r="E206" s="461"/>
      <c r="F206" s="1440"/>
      <c r="G206" s="1441"/>
      <c r="H206" s="1442"/>
      <c r="I206" s="405"/>
    </row>
    <row r="207" spans="1:10" ht="15" customHeight="1" x14ac:dyDescent="0.15">
      <c r="A207" s="1272"/>
      <c r="B207" s="1399"/>
      <c r="C207" s="1399"/>
      <c r="D207" s="1400"/>
      <c r="E207" s="461"/>
      <c r="F207" s="1440"/>
      <c r="G207" s="1441"/>
      <c r="H207" s="1442"/>
      <c r="I207" s="405"/>
    </row>
    <row r="208" spans="1:10" s="1304" customFormat="1" ht="15" customHeight="1" x14ac:dyDescent="0.15">
      <c r="A208" s="1272"/>
      <c r="B208" s="1399"/>
      <c r="C208" s="1399"/>
      <c r="D208" s="1400"/>
      <c r="E208" s="461"/>
      <c r="F208" s="1440"/>
      <c r="G208" s="1441"/>
      <c r="H208" s="1442"/>
      <c r="I208" s="1312"/>
      <c r="J208" s="480"/>
    </row>
    <row r="209" spans="1:9" ht="15" customHeight="1" x14ac:dyDescent="0.15">
      <c r="A209" s="1272"/>
      <c r="B209" s="1399"/>
      <c r="C209" s="1399"/>
      <c r="D209" s="1400"/>
      <c r="E209" s="461"/>
      <c r="F209" s="1440"/>
      <c r="G209" s="1441"/>
      <c r="H209" s="1442"/>
      <c r="I209" s="405"/>
    </row>
    <row r="210" spans="1:9" ht="15" customHeight="1" x14ac:dyDescent="0.15">
      <c r="A210" s="1272"/>
      <c r="B210" s="1399"/>
      <c r="C210" s="1399"/>
      <c r="D210" s="1400"/>
      <c r="E210" s="461"/>
      <c r="F210" s="1440"/>
      <c r="G210" s="1441"/>
      <c r="H210" s="1442"/>
      <c r="I210" s="405"/>
    </row>
    <row r="211" spans="1:9" ht="15" customHeight="1" x14ac:dyDescent="0.15">
      <c r="B211" s="1405"/>
      <c r="C211" s="1405"/>
      <c r="D211" s="1437"/>
      <c r="E211" s="461"/>
      <c r="F211" s="1443"/>
      <c r="G211" s="1405"/>
      <c r="H211" s="1437"/>
      <c r="I211" s="454"/>
    </row>
    <row r="212" spans="1:9" ht="15" customHeight="1" x14ac:dyDescent="0.15">
      <c r="B212" s="1405"/>
      <c r="C212" s="1405"/>
      <c r="D212" s="1437"/>
      <c r="E212" s="461"/>
      <c r="F212" s="1443"/>
      <c r="G212" s="1405"/>
      <c r="H212" s="1437"/>
      <c r="I212" s="454"/>
    </row>
    <row r="213" spans="1:9" ht="15" customHeight="1" x14ac:dyDescent="0.15">
      <c r="B213" s="1405"/>
      <c r="C213" s="1405"/>
      <c r="D213" s="1437"/>
      <c r="E213" s="461"/>
      <c r="F213" s="1443"/>
      <c r="G213" s="1405"/>
      <c r="H213" s="1437"/>
      <c r="I213" s="454"/>
    </row>
    <row r="214" spans="1:9" ht="15" customHeight="1" x14ac:dyDescent="0.15">
      <c r="B214" s="1405"/>
      <c r="C214" s="1405"/>
      <c r="D214" s="1437"/>
      <c r="E214" s="461"/>
      <c r="F214" s="1443"/>
      <c r="G214" s="1405"/>
      <c r="H214" s="1437"/>
      <c r="I214" s="454"/>
    </row>
    <row r="215" spans="1:9" ht="15" customHeight="1" x14ac:dyDescent="0.15">
      <c r="B215" s="1405"/>
      <c r="C215" s="1405"/>
      <c r="D215" s="1437"/>
      <c r="E215" s="461"/>
      <c r="F215" s="1443"/>
      <c r="G215" s="1405"/>
      <c r="H215" s="1437"/>
      <c r="I215" s="454"/>
    </row>
    <row r="216" spans="1:9" ht="15" customHeight="1" x14ac:dyDescent="0.15">
      <c r="B216" s="1405"/>
      <c r="C216" s="1405"/>
      <c r="D216" s="1437"/>
      <c r="E216" s="461"/>
      <c r="F216" s="1443"/>
      <c r="G216" s="1405"/>
      <c r="H216" s="1437"/>
      <c r="I216" s="454"/>
    </row>
    <row r="217" spans="1:9" ht="15" customHeight="1" x14ac:dyDescent="0.15">
      <c r="B217" s="1405"/>
      <c r="C217" s="1405"/>
      <c r="D217" s="1437"/>
      <c r="E217" s="461"/>
      <c r="F217" s="1443"/>
      <c r="G217" s="1405"/>
      <c r="H217" s="1437"/>
      <c r="I217" s="454"/>
    </row>
    <row r="218" spans="1:9" ht="15" customHeight="1" x14ac:dyDescent="0.15">
      <c r="B218" s="1405"/>
      <c r="C218" s="1405"/>
      <c r="D218" s="1437"/>
      <c r="E218" s="461"/>
      <c r="F218" s="1443"/>
      <c r="G218" s="1405"/>
      <c r="H218" s="1437"/>
      <c r="I218" s="454"/>
    </row>
    <row r="219" spans="1:9" ht="15" customHeight="1" x14ac:dyDescent="0.15">
      <c r="B219" s="1405"/>
      <c r="C219" s="1405"/>
      <c r="D219" s="1437"/>
      <c r="E219" s="461"/>
      <c r="F219" s="1443"/>
      <c r="G219" s="1405"/>
      <c r="H219" s="1437"/>
      <c r="I219" s="454"/>
    </row>
    <row r="220" spans="1:9" ht="15" customHeight="1" x14ac:dyDescent="0.15">
      <c r="B220" s="1405"/>
      <c r="C220" s="1405"/>
      <c r="D220" s="1437"/>
      <c r="E220" s="461"/>
      <c r="F220" s="1443"/>
      <c r="G220" s="1405"/>
      <c r="H220" s="1437"/>
      <c r="I220" s="454"/>
    </row>
    <row r="221" spans="1:9" ht="15" customHeight="1" x14ac:dyDescent="0.15">
      <c r="B221" s="1405"/>
      <c r="C221" s="1405"/>
      <c r="D221" s="1437"/>
      <c r="E221" s="461"/>
      <c r="F221" s="1443"/>
      <c r="G221" s="1405"/>
      <c r="H221" s="1437"/>
      <c r="I221" s="454"/>
    </row>
    <row r="222" spans="1:9" ht="15" customHeight="1" x14ac:dyDescent="0.15">
      <c r="B222" s="1405"/>
      <c r="C222" s="1405"/>
      <c r="D222" s="1437"/>
      <c r="E222" s="461"/>
      <c r="F222" s="1443"/>
      <c r="G222" s="1405"/>
      <c r="H222" s="1437"/>
      <c r="I222" s="454"/>
    </row>
    <row r="223" spans="1:9" ht="15" customHeight="1" x14ac:dyDescent="0.15">
      <c r="B223" s="1405"/>
      <c r="C223" s="1405"/>
      <c r="D223" s="1437"/>
      <c r="E223" s="461"/>
      <c r="F223" s="1443"/>
      <c r="G223" s="1405"/>
      <c r="H223" s="1437"/>
      <c r="I223" s="454"/>
    </row>
    <row r="224" spans="1:9" ht="15" customHeight="1" x14ac:dyDescent="0.15">
      <c r="B224" s="1405"/>
      <c r="C224" s="1405"/>
      <c r="D224" s="1437"/>
      <c r="E224" s="461"/>
      <c r="F224" s="1443"/>
      <c r="G224" s="1405"/>
      <c r="H224" s="1437"/>
      <c r="I224" s="454"/>
    </row>
    <row r="225" spans="2:9" ht="15" customHeight="1" x14ac:dyDescent="0.15">
      <c r="B225" s="1405"/>
      <c r="C225" s="1405"/>
      <c r="D225" s="1437"/>
      <c r="E225" s="461"/>
      <c r="F225" s="1443"/>
      <c r="G225" s="1405"/>
      <c r="H225" s="1437"/>
      <c r="I225" s="454"/>
    </row>
    <row r="226" spans="2:9" ht="15" customHeight="1" x14ac:dyDescent="0.15">
      <c r="B226" s="1405"/>
      <c r="C226" s="1405"/>
      <c r="D226" s="1437"/>
      <c r="E226" s="461"/>
      <c r="F226" s="1443"/>
      <c r="G226" s="1405"/>
      <c r="H226" s="1437"/>
      <c r="I226" s="454"/>
    </row>
    <row r="227" spans="2:9" ht="15" customHeight="1" x14ac:dyDescent="0.15">
      <c r="B227" s="1405"/>
      <c r="C227" s="1405"/>
      <c r="D227" s="1437"/>
      <c r="E227" s="461"/>
      <c r="F227" s="1443"/>
      <c r="G227" s="1405"/>
      <c r="H227" s="1437"/>
      <c r="I227" s="454"/>
    </row>
    <row r="228" spans="2:9" ht="15" customHeight="1" x14ac:dyDescent="0.15">
      <c r="B228" s="1405"/>
      <c r="C228" s="1405"/>
      <c r="D228" s="1437"/>
      <c r="E228" s="461"/>
      <c r="F228" s="1443"/>
      <c r="G228" s="1405"/>
      <c r="H228" s="1437"/>
      <c r="I228" s="454"/>
    </row>
    <row r="229" spans="2:9" ht="15" customHeight="1" x14ac:dyDescent="0.15">
      <c r="B229" s="1405"/>
      <c r="C229" s="1405"/>
      <c r="D229" s="1437"/>
      <c r="E229" s="461"/>
      <c r="F229" s="1443"/>
      <c r="G229" s="1405"/>
      <c r="H229" s="1437"/>
      <c r="I229" s="454"/>
    </row>
    <row r="230" spans="2:9" ht="15" customHeight="1" x14ac:dyDescent="0.15">
      <c r="B230" s="1405"/>
      <c r="C230" s="1405"/>
      <c r="D230" s="1437"/>
      <c r="E230" s="461"/>
      <c r="F230" s="1443"/>
      <c r="G230" s="1405"/>
      <c r="H230" s="1437"/>
      <c r="I230" s="454"/>
    </row>
    <row r="231" spans="2:9" ht="15" customHeight="1" x14ac:dyDescent="0.15">
      <c r="B231" s="1405"/>
      <c r="C231" s="1405"/>
      <c r="D231" s="1437"/>
      <c r="E231" s="461"/>
      <c r="F231" s="1443"/>
      <c r="G231" s="1405"/>
      <c r="H231" s="1437"/>
      <c r="I231" s="454"/>
    </row>
    <row r="232" spans="2:9" ht="15" customHeight="1" x14ac:dyDescent="0.15">
      <c r="B232" s="1405"/>
      <c r="C232" s="1405"/>
      <c r="D232" s="1437"/>
      <c r="E232" s="461"/>
      <c r="F232" s="1443"/>
      <c r="G232" s="1405"/>
      <c r="H232" s="1437"/>
      <c r="I232" s="454"/>
    </row>
    <row r="233" spans="2:9" ht="15" customHeight="1" x14ac:dyDescent="0.15">
      <c r="B233" s="1405"/>
      <c r="C233" s="1405"/>
      <c r="D233" s="1437"/>
      <c r="E233" s="461"/>
      <c r="F233" s="1443"/>
      <c r="G233" s="1405"/>
      <c r="H233" s="1437"/>
      <c r="I233" s="454"/>
    </row>
    <row r="234" spans="2:9" ht="15" customHeight="1" x14ac:dyDescent="0.15">
      <c r="B234" s="1405"/>
      <c r="C234" s="1405"/>
      <c r="D234" s="1437"/>
      <c r="E234" s="461"/>
      <c r="F234" s="1443"/>
      <c r="G234" s="1405"/>
      <c r="H234" s="1437"/>
      <c r="I234" s="454"/>
    </row>
    <row r="235" spans="2:9" ht="15" customHeight="1" x14ac:dyDescent="0.15">
      <c r="B235" s="1405"/>
      <c r="C235" s="1405"/>
      <c r="D235" s="1437"/>
      <c r="E235" s="461"/>
      <c r="F235" s="1443"/>
      <c r="G235" s="1405"/>
      <c r="H235" s="1437"/>
      <c r="I235" s="454"/>
    </row>
    <row r="236" spans="2:9" ht="15" customHeight="1" x14ac:dyDescent="0.15">
      <c r="B236" s="1405"/>
      <c r="C236" s="1405"/>
      <c r="D236" s="1437"/>
      <c r="E236" s="461"/>
      <c r="F236" s="1443"/>
      <c r="G236" s="1405"/>
      <c r="H236" s="1437"/>
      <c r="I236" s="454"/>
    </row>
    <row r="237" spans="2:9" ht="15" customHeight="1" x14ac:dyDescent="0.15">
      <c r="B237" s="1405"/>
      <c r="C237" s="1405"/>
      <c r="D237" s="1437"/>
      <c r="E237" s="461"/>
      <c r="F237" s="1443"/>
      <c r="G237" s="1405"/>
      <c r="H237" s="1437"/>
      <c r="I237" s="454"/>
    </row>
    <row r="238" spans="2:9" ht="15" customHeight="1" x14ac:dyDescent="0.15">
      <c r="B238" s="1405"/>
      <c r="C238" s="1405"/>
      <c r="D238" s="1437"/>
      <c r="E238" s="461"/>
      <c r="F238" s="1443"/>
      <c r="G238" s="1405"/>
      <c r="H238" s="1437"/>
      <c r="I238" s="454"/>
    </row>
    <row r="239" spans="2:9" ht="15" customHeight="1" x14ac:dyDescent="0.15">
      <c r="B239" s="1405"/>
      <c r="C239" s="1405"/>
      <c r="D239" s="1437"/>
      <c r="E239" s="461"/>
      <c r="F239" s="1443"/>
      <c r="G239" s="1405"/>
      <c r="H239" s="1437"/>
      <c r="I239" s="454"/>
    </row>
    <row r="240" spans="2:9" ht="15" customHeight="1" x14ac:dyDescent="0.15">
      <c r="B240" s="1405"/>
      <c r="C240" s="1405"/>
      <c r="D240" s="1437"/>
      <c r="E240" s="461"/>
      <c r="F240" s="1443"/>
      <c r="G240" s="1405"/>
      <c r="H240" s="1437"/>
      <c r="I240" s="454"/>
    </row>
    <row r="241" spans="1:11" ht="15" customHeight="1" x14ac:dyDescent="0.15">
      <c r="B241" s="1405"/>
      <c r="C241" s="1405"/>
      <c r="D241" s="1437"/>
      <c r="E241" s="461"/>
      <c r="F241" s="1443"/>
      <c r="G241" s="1405"/>
      <c r="H241" s="1437"/>
      <c r="I241" s="454"/>
    </row>
    <row r="242" spans="1:11" ht="15" customHeight="1" x14ac:dyDescent="0.15">
      <c r="B242" s="1405"/>
      <c r="C242" s="1405"/>
      <c r="D242" s="1437"/>
      <c r="E242" s="461"/>
      <c r="F242" s="1443"/>
      <c r="G242" s="1405"/>
      <c r="H242" s="1437"/>
      <c r="I242" s="454"/>
    </row>
    <row r="243" spans="1:11" ht="15" customHeight="1" x14ac:dyDescent="0.15">
      <c r="B243" s="1405"/>
      <c r="C243" s="1405"/>
      <c r="D243" s="1437"/>
      <c r="E243" s="461"/>
      <c r="F243" s="1443"/>
      <c r="G243" s="1405"/>
      <c r="H243" s="1437"/>
      <c r="I243" s="454"/>
    </row>
    <row r="244" spans="1:11" ht="15" customHeight="1" x14ac:dyDescent="0.15">
      <c r="B244" s="1405"/>
      <c r="C244" s="1405"/>
      <c r="D244" s="1437"/>
      <c r="E244" s="461"/>
      <c r="F244" s="1443"/>
      <c r="G244" s="1405"/>
      <c r="H244" s="1437"/>
      <c r="I244" s="454"/>
    </row>
    <row r="245" spans="1:11" ht="15" customHeight="1" x14ac:dyDescent="0.15">
      <c r="B245" s="1405"/>
      <c r="C245" s="1405"/>
      <c r="D245" s="1437"/>
      <c r="E245" s="461"/>
      <c r="F245" s="1443"/>
      <c r="G245" s="1405"/>
      <c r="H245" s="1437"/>
      <c r="I245" s="454"/>
    </row>
    <row r="246" spans="1:11" ht="15" customHeight="1" x14ac:dyDescent="0.15">
      <c r="B246" s="1405"/>
      <c r="C246" s="1405"/>
      <c r="D246" s="1437"/>
      <c r="E246" s="461"/>
      <c r="F246" s="1443"/>
      <c r="G246" s="1405"/>
      <c r="H246" s="1437"/>
      <c r="I246" s="454"/>
    </row>
    <row r="247" spans="1:11" ht="15" customHeight="1" x14ac:dyDescent="0.15">
      <c r="B247" s="1405"/>
      <c r="C247" s="1405"/>
      <c r="D247" s="1437"/>
      <c r="E247" s="461"/>
      <c r="F247" s="1443"/>
      <c r="G247" s="1405"/>
      <c r="H247" s="1437"/>
      <c r="I247" s="454"/>
    </row>
    <row r="248" spans="1:11" ht="15" customHeight="1" x14ac:dyDescent="0.15">
      <c r="B248" s="1405"/>
      <c r="C248" s="1405"/>
      <c r="D248" s="1437"/>
      <c r="E248" s="461"/>
      <c r="F248" s="1443"/>
      <c r="G248" s="1405"/>
      <c r="H248" s="1437"/>
      <c r="I248" s="454"/>
    </row>
    <row r="249" spans="1:11" ht="15" customHeight="1" x14ac:dyDescent="0.15">
      <c r="B249" s="1405"/>
      <c r="C249" s="1405"/>
      <c r="D249" s="1437"/>
      <c r="E249" s="461"/>
      <c r="F249" s="1443"/>
      <c r="G249" s="1405"/>
      <c r="H249" s="1437"/>
      <c r="I249" s="454"/>
    </row>
    <row r="250" spans="1:11" ht="15" customHeight="1" x14ac:dyDescent="0.15">
      <c r="B250" s="1405"/>
      <c r="C250" s="1405"/>
      <c r="D250" s="1437"/>
      <c r="E250" s="461"/>
      <c r="F250" s="1443"/>
      <c r="G250" s="1405"/>
      <c r="H250" s="1437"/>
      <c r="I250" s="454"/>
    </row>
    <row r="251" spans="1:11" ht="15" customHeight="1" x14ac:dyDescent="0.15">
      <c r="A251" s="515"/>
      <c r="B251" s="516"/>
      <c r="C251" s="516"/>
      <c r="D251" s="516"/>
      <c r="E251" s="516"/>
      <c r="F251" s="516"/>
      <c r="G251" s="516"/>
      <c r="H251" s="665"/>
      <c r="I251" s="480">
        <f>SUM(I6:I198)</f>
        <v>0</v>
      </c>
    </row>
    <row r="252" spans="1:11" x14ac:dyDescent="0.15">
      <c r="I252" s="569" t="str">
        <f>IF(OR(COUNTIF(J252:K252,"KO")&gt;0,44="",F55="",F58="",F61=""),"KO","OK")</f>
        <v>KO</v>
      </c>
      <c r="J252" s="480" t="str">
        <f>IF(OR(I11=0,I18=0,I20=0,I22=0,I32=0,I34=0,I122=0,I84=0,I86=0,I88=0,I90=0,I92=0,I94=0,I96=0,I98=0,I100=0,I102=0,I104=0,),"KO","OK")</f>
        <v>KO</v>
      </c>
      <c r="K252" s="480" t="str">
        <f>IF(I64=1,(IF(OR(F67&gt;0,F70&gt;0),"OK","KO")),"OK")</f>
        <v>OK</v>
      </c>
    </row>
  </sheetData>
  <sheetProtection password="DD41" sheet="1" selectLockedCells="1"/>
  <mergeCells count="78">
    <mergeCell ref="B196:E196"/>
    <mergeCell ref="B198:E198"/>
    <mergeCell ref="B201:D250"/>
    <mergeCell ref="F201:H250"/>
    <mergeCell ref="C189:E189"/>
    <mergeCell ref="B190:D190"/>
    <mergeCell ref="C191:E191"/>
    <mergeCell ref="H191:H193"/>
    <mergeCell ref="C192:E192"/>
    <mergeCell ref="C193:E193"/>
    <mergeCell ref="C188:E188"/>
    <mergeCell ref="B169:E169"/>
    <mergeCell ref="B172:E172"/>
    <mergeCell ref="B174:E174"/>
    <mergeCell ref="C176:E176"/>
    <mergeCell ref="C177:E177"/>
    <mergeCell ref="C178:E178"/>
    <mergeCell ref="B180:F180"/>
    <mergeCell ref="C182:E182"/>
    <mergeCell ref="C183:E183"/>
    <mergeCell ref="C184:E184"/>
    <mergeCell ref="B186:E186"/>
    <mergeCell ref="C166:E166"/>
    <mergeCell ref="B131:E131"/>
    <mergeCell ref="B134:E134"/>
    <mergeCell ref="B136:E136"/>
    <mergeCell ref="C137:E137"/>
    <mergeCell ref="B149:E149"/>
    <mergeCell ref="C150:E150"/>
    <mergeCell ref="B161:E161"/>
    <mergeCell ref="C162:E162"/>
    <mergeCell ref="C163:E163"/>
    <mergeCell ref="C164:E164"/>
    <mergeCell ref="C165:E165"/>
    <mergeCell ref="B113:E113"/>
    <mergeCell ref="G113:H113"/>
    <mergeCell ref="B122:E122"/>
    <mergeCell ref="B125:E125"/>
    <mergeCell ref="B128:E128"/>
    <mergeCell ref="G128:H128"/>
    <mergeCell ref="B102:E102"/>
    <mergeCell ref="B104:E104"/>
    <mergeCell ref="B107:E107"/>
    <mergeCell ref="G107:H107"/>
    <mergeCell ref="B110:E110"/>
    <mergeCell ref="G110:H110"/>
    <mergeCell ref="B100:E100"/>
    <mergeCell ref="C70:E70"/>
    <mergeCell ref="G70:H70"/>
    <mergeCell ref="B83:D83"/>
    <mergeCell ref="B84:E84"/>
    <mergeCell ref="B86:E86"/>
    <mergeCell ref="B88:E88"/>
    <mergeCell ref="B90:E90"/>
    <mergeCell ref="B92:E92"/>
    <mergeCell ref="B94:E94"/>
    <mergeCell ref="B96:E96"/>
    <mergeCell ref="B98:E98"/>
    <mergeCell ref="C67:E67"/>
    <mergeCell ref="G67:H67"/>
    <mergeCell ref="B44:E44"/>
    <mergeCell ref="G44:H44"/>
    <mergeCell ref="B47:E47"/>
    <mergeCell ref="C49:E49"/>
    <mergeCell ref="B52:E52"/>
    <mergeCell ref="B55:E55"/>
    <mergeCell ref="G55:H55"/>
    <mergeCell ref="B58:E58"/>
    <mergeCell ref="G58:H58"/>
    <mergeCell ref="B61:E61"/>
    <mergeCell ref="G61:H61"/>
    <mergeCell ref="B64:E64"/>
    <mergeCell ref="G37:H37"/>
    <mergeCell ref="B18:E18"/>
    <mergeCell ref="B20:E20"/>
    <mergeCell ref="B22:E22"/>
    <mergeCell ref="B32:E32"/>
    <mergeCell ref="B37:E37"/>
  </mergeCells>
  <dataValidations count="8">
    <dataValidation type="list" allowBlank="1" showInputMessage="1" showErrorMessage="1" sqref="F18">
      <formula1>"_, Sì, No, Non sono stati esternalizzati servizi "</formula1>
    </dataValidation>
    <dataValidation type="list" allowBlank="1" showInputMessage="1" showErrorMessage="1" sqref="F134">
      <mc:AlternateContent xmlns:x12ac="http://schemas.microsoft.com/office/spreadsheetml/2011/1/ac" xmlns:mc="http://schemas.openxmlformats.org/markup-compatibility/2006">
        <mc:Choice Requires="x12ac">
          <x12ac:list>_," Sì, annuale per l'anno di rilevazione"," Sì, pluriennale", No</x12ac:list>
        </mc:Choice>
        <mc:Fallback>
          <formula1>"_, Sì, annuale per l'anno di rilevazione, Sì, pluriennale, No"</formula1>
        </mc:Fallback>
      </mc:AlternateContent>
    </dataValidation>
    <dataValidation type="list" allowBlank="1" showInputMessage="1" showErrorMessage="1" sqref="F131">
      <mc:AlternateContent xmlns:x12ac="http://schemas.microsoft.com/office/spreadsheetml/2011/1/ac" xmlns:mc="http://schemas.openxmlformats.org/markup-compatibility/2006">
        <mc:Choice Requires="x12ac">
          <x12ac:list>_," Sì, esiste un apposito Ufficio/Servizio"," No, ma la funzione è esercitata da un altro ufficio", No</x12ac:list>
        </mc:Choice>
        <mc:Fallback>
          <formula1>"_, Sì, esiste un apposito Ufficio/Servizio, No, ma la funzione è esercitata da un altro ufficio, No"</formula1>
        </mc:Fallback>
      </mc:AlternateContent>
    </dataValidation>
    <dataValidation type="list" allowBlank="1" showInputMessage="1" showErrorMessage="1" sqref="F122">
      <formula1>"_, SI, No, Non Tenuto"</formula1>
    </dataValidation>
    <dataValidation type="whole" allowBlank="1" showInputMessage="1" showErrorMessage="1" errorTitle="ATTENZIONE" error="INSERIRE SOLO VALORI NUMERICI INTERI" sqref="F58 F70 F42 F44 F40 F61:F62 F64:F65 F67:F68 F55 F107 F113:F119 F110 F47:F50 F52:F53 F138:F147 F151:F159 F128 F169 F176:F178 F182:F184 F188:F189 F191:F193 F196 F198">
      <formula1>0</formula1>
      <formula2>999999999999</formula2>
    </dataValidation>
    <dataValidation type="whole" allowBlank="1" showInputMessage="1" showErrorMessage="1" errorTitle="ERRORE NEL DATO IMMESSO" error="INSERIRE SOLO NUMERI INTERI" sqref="E201:E250 E105">
      <formula1>1</formula1>
      <formula2>99999</formula2>
    </dataValidation>
    <dataValidation type="decimal" allowBlank="1" showInputMessage="1" showErrorMessage="1" errorTitle="ATTENZIONE" error="INSERIRE SOLO VALORI NUMERICI CON DUE DECIMALI" sqref="F37">
      <formula1>0.01</formula1>
      <formula2>100</formula2>
    </dataValidation>
    <dataValidation type="whole" allowBlank="1" showInputMessage="1" showErrorMessage="1" errorTitle="ATTENZIONE" error="INSERIRE UN VALORE NUMERICO INTERO" sqref="F6 F8">
      <formula1>0</formula1>
      <formula2>100</formula2>
    </dataValidation>
  </dataValidations>
  <printOptions horizontalCentered="1"/>
  <pageMargins left="0.23622047244094491" right="0.23622047244094491" top="0.59055118110236227" bottom="0.98425196850393704" header="0.51181102362204722" footer="0.51181102362204722"/>
  <pageSetup paperSize="9" scale="3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96225" r:id="rId4" name="Group Box 1">
              <controlPr defaultSize="0" autoFill="0" autoPict="0">
                <anchor moveWithCells="1">
                  <from>
                    <xdr:col>5</xdr:col>
                    <xdr:colOff>0</xdr:colOff>
                    <xdr:row>10</xdr:row>
                    <xdr:rowOff>0</xdr:rowOff>
                  </from>
                  <to>
                    <xdr:col>7</xdr:col>
                    <xdr:colOff>0</xdr:colOff>
                    <xdr:row>11</xdr:row>
                    <xdr:rowOff>0</xdr:rowOff>
                  </to>
                </anchor>
              </controlPr>
            </control>
          </mc:Choice>
        </mc:AlternateContent>
        <mc:AlternateContent xmlns:mc="http://schemas.openxmlformats.org/markup-compatibility/2006">
          <mc:Choice Requires="x14">
            <control shapeId="2996226" r:id="rId5" name="Option Button 2">
              <controlPr locked="0" defaultSize="0" autoFill="0" autoLine="0" autoPict="0">
                <anchor moveWithCells="1">
                  <from>
                    <xdr:col>5</xdr:col>
                    <xdr:colOff>495300</xdr:colOff>
                    <xdr:row>10</xdr:row>
                    <xdr:rowOff>9525</xdr:rowOff>
                  </from>
                  <to>
                    <xdr:col>5</xdr:col>
                    <xdr:colOff>790575</xdr:colOff>
                    <xdr:row>10</xdr:row>
                    <xdr:rowOff>238125</xdr:rowOff>
                  </to>
                </anchor>
              </controlPr>
            </control>
          </mc:Choice>
        </mc:AlternateContent>
        <mc:AlternateContent xmlns:mc="http://schemas.openxmlformats.org/markup-compatibility/2006">
          <mc:Choice Requires="x14">
            <control shapeId="2996227" r:id="rId6" name="Option Button 3">
              <controlPr defaultSize="0" autoFill="0" autoLine="0" autoPict="0">
                <anchor moveWithCells="1">
                  <from>
                    <xdr:col>6</xdr:col>
                    <xdr:colOff>457200</xdr:colOff>
                    <xdr:row>10</xdr:row>
                    <xdr:rowOff>0</xdr:rowOff>
                  </from>
                  <to>
                    <xdr:col>6</xdr:col>
                    <xdr:colOff>733425</xdr:colOff>
                    <xdr:row>10</xdr:row>
                    <xdr:rowOff>219075</xdr:rowOff>
                  </to>
                </anchor>
              </controlPr>
            </control>
          </mc:Choice>
        </mc:AlternateContent>
        <mc:AlternateContent xmlns:mc="http://schemas.openxmlformats.org/markup-compatibility/2006">
          <mc:Choice Requires="x14">
            <control shapeId="2996228" r:id="rId7" name="Group Box 4">
              <controlPr defaultSize="0" autoFill="0" autoPict="0">
                <anchor moveWithCells="1">
                  <from>
                    <xdr:col>5</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2996229" r:id="rId8" name="Group Box 5">
              <controlPr defaultSize="0" autoFill="0" autoPict="0">
                <anchor moveWithCells="1">
                  <from>
                    <xdr:col>5</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2996230" r:id="rId9" name="Option Button 6">
              <controlPr defaultSize="0" autoFill="0" autoLine="0" autoPict="0">
                <anchor moveWithCells="1">
                  <from>
                    <xdr:col>5</xdr:col>
                    <xdr:colOff>504825</xdr:colOff>
                    <xdr:row>19</xdr:row>
                    <xdr:rowOff>180975</xdr:rowOff>
                  </from>
                  <to>
                    <xdr:col>5</xdr:col>
                    <xdr:colOff>790575</xdr:colOff>
                    <xdr:row>19</xdr:row>
                    <xdr:rowOff>409575</xdr:rowOff>
                  </to>
                </anchor>
              </controlPr>
            </control>
          </mc:Choice>
        </mc:AlternateContent>
        <mc:AlternateContent xmlns:mc="http://schemas.openxmlformats.org/markup-compatibility/2006">
          <mc:Choice Requires="x14">
            <control shapeId="2996231" r:id="rId10" name="Option Button 7">
              <controlPr defaultSize="0" autoFill="0" autoLine="0" autoPict="0">
                <anchor moveWithCells="1">
                  <from>
                    <xdr:col>6</xdr:col>
                    <xdr:colOff>495300</xdr:colOff>
                    <xdr:row>19</xdr:row>
                    <xdr:rowOff>180975</xdr:rowOff>
                  </from>
                  <to>
                    <xdr:col>6</xdr:col>
                    <xdr:colOff>790575</xdr:colOff>
                    <xdr:row>19</xdr:row>
                    <xdr:rowOff>409575</xdr:rowOff>
                  </to>
                </anchor>
              </controlPr>
            </control>
          </mc:Choice>
        </mc:AlternateContent>
        <mc:AlternateContent xmlns:mc="http://schemas.openxmlformats.org/markup-compatibility/2006">
          <mc:Choice Requires="x14">
            <control shapeId="2996232" r:id="rId11" name="Option Button 8">
              <controlPr defaultSize="0" autoFill="0" autoLine="0" autoPict="0">
                <anchor moveWithCells="1">
                  <from>
                    <xdr:col>5</xdr:col>
                    <xdr:colOff>504825</xdr:colOff>
                    <xdr:row>21</xdr:row>
                    <xdr:rowOff>104775</xdr:rowOff>
                  </from>
                  <to>
                    <xdr:col>5</xdr:col>
                    <xdr:colOff>790575</xdr:colOff>
                    <xdr:row>21</xdr:row>
                    <xdr:rowOff>304800</xdr:rowOff>
                  </to>
                </anchor>
              </controlPr>
            </control>
          </mc:Choice>
        </mc:AlternateContent>
        <mc:AlternateContent xmlns:mc="http://schemas.openxmlformats.org/markup-compatibility/2006">
          <mc:Choice Requires="x14">
            <control shapeId="2996233" r:id="rId12" name="Option Button 9">
              <controlPr defaultSize="0" autoFill="0" autoLine="0" autoPict="0">
                <anchor moveWithCells="1">
                  <from>
                    <xdr:col>6</xdr:col>
                    <xdr:colOff>485775</xdr:colOff>
                    <xdr:row>21</xdr:row>
                    <xdr:rowOff>76200</xdr:rowOff>
                  </from>
                  <to>
                    <xdr:col>6</xdr:col>
                    <xdr:colOff>771525</xdr:colOff>
                    <xdr:row>21</xdr:row>
                    <xdr:rowOff>276225</xdr:rowOff>
                  </to>
                </anchor>
              </controlPr>
            </control>
          </mc:Choice>
        </mc:AlternateContent>
        <mc:AlternateContent xmlns:mc="http://schemas.openxmlformats.org/markup-compatibility/2006">
          <mc:Choice Requires="x14">
            <control shapeId="2996234" r:id="rId13" name="Group Box 10">
              <controlPr defaultSize="0" autoFill="0" autoPict="0">
                <anchor moveWithCells="1">
                  <from>
                    <xdr:col>5</xdr:col>
                    <xdr:colOff>0</xdr:colOff>
                    <xdr:row>31</xdr:row>
                    <xdr:rowOff>0</xdr:rowOff>
                  </from>
                  <to>
                    <xdr:col>7</xdr:col>
                    <xdr:colOff>0</xdr:colOff>
                    <xdr:row>32</xdr:row>
                    <xdr:rowOff>0</xdr:rowOff>
                  </to>
                </anchor>
              </controlPr>
            </control>
          </mc:Choice>
        </mc:AlternateContent>
        <mc:AlternateContent xmlns:mc="http://schemas.openxmlformats.org/markup-compatibility/2006">
          <mc:Choice Requires="x14">
            <control shapeId="2996235" r:id="rId14" name="Group Box 11">
              <controlPr defaultSize="0" autoFill="0" autoPict="0">
                <anchor moveWithCells="1">
                  <from>
                    <xdr:col>5</xdr:col>
                    <xdr:colOff>0</xdr:colOff>
                    <xdr:row>33</xdr:row>
                    <xdr:rowOff>0</xdr:rowOff>
                  </from>
                  <to>
                    <xdr:col>7</xdr:col>
                    <xdr:colOff>0</xdr:colOff>
                    <xdr:row>34</xdr:row>
                    <xdr:rowOff>0</xdr:rowOff>
                  </to>
                </anchor>
              </controlPr>
            </control>
          </mc:Choice>
        </mc:AlternateContent>
        <mc:AlternateContent xmlns:mc="http://schemas.openxmlformats.org/markup-compatibility/2006">
          <mc:Choice Requires="x14">
            <control shapeId="2996236" r:id="rId15" name="Option Button 12">
              <controlPr defaultSize="0" autoFill="0" autoLine="0" autoPict="0">
                <anchor moveWithCells="1">
                  <from>
                    <xdr:col>5</xdr:col>
                    <xdr:colOff>533400</xdr:colOff>
                    <xdr:row>31</xdr:row>
                    <xdr:rowOff>104775</xdr:rowOff>
                  </from>
                  <to>
                    <xdr:col>5</xdr:col>
                    <xdr:colOff>809625</xdr:colOff>
                    <xdr:row>31</xdr:row>
                    <xdr:rowOff>304800</xdr:rowOff>
                  </to>
                </anchor>
              </controlPr>
            </control>
          </mc:Choice>
        </mc:AlternateContent>
        <mc:AlternateContent xmlns:mc="http://schemas.openxmlformats.org/markup-compatibility/2006">
          <mc:Choice Requires="x14">
            <control shapeId="2996237" r:id="rId16" name="Option Button 13">
              <controlPr defaultSize="0" autoFill="0" autoLine="0" autoPict="0">
                <anchor moveWithCells="1">
                  <from>
                    <xdr:col>6</xdr:col>
                    <xdr:colOff>495300</xdr:colOff>
                    <xdr:row>31</xdr:row>
                    <xdr:rowOff>104775</xdr:rowOff>
                  </from>
                  <to>
                    <xdr:col>6</xdr:col>
                    <xdr:colOff>790575</xdr:colOff>
                    <xdr:row>31</xdr:row>
                    <xdr:rowOff>304800</xdr:rowOff>
                  </to>
                </anchor>
              </controlPr>
            </control>
          </mc:Choice>
        </mc:AlternateContent>
        <mc:AlternateContent xmlns:mc="http://schemas.openxmlformats.org/markup-compatibility/2006">
          <mc:Choice Requires="x14">
            <control shapeId="2996238" r:id="rId17" name="Option Button 14">
              <controlPr defaultSize="0" autoFill="0" autoLine="0" autoPict="0">
                <anchor moveWithCells="1">
                  <from>
                    <xdr:col>5</xdr:col>
                    <xdr:colOff>533400</xdr:colOff>
                    <xdr:row>33</xdr:row>
                    <xdr:rowOff>9525</xdr:rowOff>
                  </from>
                  <to>
                    <xdr:col>5</xdr:col>
                    <xdr:colOff>809625</xdr:colOff>
                    <xdr:row>33</xdr:row>
                    <xdr:rowOff>238125</xdr:rowOff>
                  </to>
                </anchor>
              </controlPr>
            </control>
          </mc:Choice>
        </mc:AlternateContent>
        <mc:AlternateContent xmlns:mc="http://schemas.openxmlformats.org/markup-compatibility/2006">
          <mc:Choice Requires="x14">
            <control shapeId="2996239" r:id="rId18" name="Option Button 15">
              <controlPr defaultSize="0" autoFill="0" autoLine="0" autoPict="0">
                <anchor moveWithCells="1">
                  <from>
                    <xdr:col>6</xdr:col>
                    <xdr:colOff>495300</xdr:colOff>
                    <xdr:row>33</xdr:row>
                    <xdr:rowOff>9525</xdr:rowOff>
                  </from>
                  <to>
                    <xdr:col>6</xdr:col>
                    <xdr:colOff>790575</xdr:colOff>
                    <xdr:row>33</xdr:row>
                    <xdr:rowOff>238125</xdr:rowOff>
                  </to>
                </anchor>
              </controlPr>
            </control>
          </mc:Choice>
        </mc:AlternateContent>
        <mc:AlternateContent xmlns:mc="http://schemas.openxmlformats.org/markup-compatibility/2006">
          <mc:Choice Requires="x14">
            <control shapeId="2996240" r:id="rId19" name="Group Box 16">
              <controlPr defaultSize="0" autoFill="0" autoPict="0">
                <anchor moveWithCells="1">
                  <from>
                    <xdr:col>5</xdr:col>
                    <xdr:colOff>9525</xdr:colOff>
                    <xdr:row>83</xdr:row>
                    <xdr:rowOff>0</xdr:rowOff>
                  </from>
                  <to>
                    <xdr:col>7</xdr:col>
                    <xdr:colOff>0</xdr:colOff>
                    <xdr:row>84</xdr:row>
                    <xdr:rowOff>0</xdr:rowOff>
                  </to>
                </anchor>
              </controlPr>
            </control>
          </mc:Choice>
        </mc:AlternateContent>
        <mc:AlternateContent xmlns:mc="http://schemas.openxmlformats.org/markup-compatibility/2006">
          <mc:Choice Requires="x14">
            <control shapeId="2996241" r:id="rId20" name="Option Button 17">
              <controlPr defaultSize="0" autoFill="0" autoLine="0" autoPict="0">
                <anchor moveWithCells="1">
                  <from>
                    <xdr:col>5</xdr:col>
                    <xdr:colOff>542925</xdr:colOff>
                    <xdr:row>83</xdr:row>
                    <xdr:rowOff>123825</xdr:rowOff>
                  </from>
                  <to>
                    <xdr:col>5</xdr:col>
                    <xdr:colOff>790575</xdr:colOff>
                    <xdr:row>84</xdr:row>
                    <xdr:rowOff>0</xdr:rowOff>
                  </to>
                </anchor>
              </controlPr>
            </control>
          </mc:Choice>
        </mc:AlternateContent>
        <mc:AlternateContent xmlns:mc="http://schemas.openxmlformats.org/markup-compatibility/2006">
          <mc:Choice Requires="x14">
            <control shapeId="2996242" r:id="rId21" name="Option Button 18">
              <controlPr defaultSize="0" autoFill="0" autoLine="0" autoPict="0">
                <anchor moveWithCells="1">
                  <from>
                    <xdr:col>6</xdr:col>
                    <xdr:colOff>457200</xdr:colOff>
                    <xdr:row>83</xdr:row>
                    <xdr:rowOff>85725</xdr:rowOff>
                  </from>
                  <to>
                    <xdr:col>6</xdr:col>
                    <xdr:colOff>714375</xdr:colOff>
                    <xdr:row>84</xdr:row>
                    <xdr:rowOff>0</xdr:rowOff>
                  </to>
                </anchor>
              </controlPr>
            </control>
          </mc:Choice>
        </mc:AlternateContent>
        <mc:AlternateContent xmlns:mc="http://schemas.openxmlformats.org/markup-compatibility/2006">
          <mc:Choice Requires="x14">
            <control shapeId="2996243" r:id="rId22" name="Group Box 19">
              <controlPr defaultSize="0" autoFill="0" autoPict="0">
                <anchor moveWithCells="1">
                  <from>
                    <xdr:col>5</xdr:col>
                    <xdr:colOff>9525</xdr:colOff>
                    <xdr:row>85</xdr:row>
                    <xdr:rowOff>0</xdr:rowOff>
                  </from>
                  <to>
                    <xdr:col>7</xdr:col>
                    <xdr:colOff>0</xdr:colOff>
                    <xdr:row>86</xdr:row>
                    <xdr:rowOff>0</xdr:rowOff>
                  </to>
                </anchor>
              </controlPr>
            </control>
          </mc:Choice>
        </mc:AlternateContent>
        <mc:AlternateContent xmlns:mc="http://schemas.openxmlformats.org/markup-compatibility/2006">
          <mc:Choice Requires="x14">
            <control shapeId="2996244" r:id="rId23" name="Option Button 20">
              <controlPr defaultSize="0" autoFill="0" autoLine="0" autoPict="0">
                <anchor moveWithCells="1">
                  <from>
                    <xdr:col>5</xdr:col>
                    <xdr:colOff>542925</xdr:colOff>
                    <xdr:row>85</xdr:row>
                    <xdr:rowOff>123825</xdr:rowOff>
                  </from>
                  <to>
                    <xdr:col>5</xdr:col>
                    <xdr:colOff>790575</xdr:colOff>
                    <xdr:row>86</xdr:row>
                    <xdr:rowOff>0</xdr:rowOff>
                  </to>
                </anchor>
              </controlPr>
            </control>
          </mc:Choice>
        </mc:AlternateContent>
        <mc:AlternateContent xmlns:mc="http://schemas.openxmlformats.org/markup-compatibility/2006">
          <mc:Choice Requires="x14">
            <control shapeId="2996245" r:id="rId24" name="Option Button 21">
              <controlPr defaultSize="0" autoFill="0" autoLine="0" autoPict="0">
                <anchor moveWithCells="1">
                  <from>
                    <xdr:col>6</xdr:col>
                    <xdr:colOff>457200</xdr:colOff>
                    <xdr:row>85</xdr:row>
                    <xdr:rowOff>85725</xdr:rowOff>
                  </from>
                  <to>
                    <xdr:col>6</xdr:col>
                    <xdr:colOff>723900</xdr:colOff>
                    <xdr:row>86</xdr:row>
                    <xdr:rowOff>0</xdr:rowOff>
                  </to>
                </anchor>
              </controlPr>
            </control>
          </mc:Choice>
        </mc:AlternateContent>
        <mc:AlternateContent xmlns:mc="http://schemas.openxmlformats.org/markup-compatibility/2006">
          <mc:Choice Requires="x14">
            <control shapeId="2996246" r:id="rId25" name="Group Box 22">
              <controlPr defaultSize="0" autoFill="0" autoPict="0">
                <anchor moveWithCells="1">
                  <from>
                    <xdr:col>5</xdr:col>
                    <xdr:colOff>0</xdr:colOff>
                    <xdr:row>87</xdr:row>
                    <xdr:rowOff>0</xdr:rowOff>
                  </from>
                  <to>
                    <xdr:col>7</xdr:col>
                    <xdr:colOff>0</xdr:colOff>
                    <xdr:row>88</xdr:row>
                    <xdr:rowOff>0</xdr:rowOff>
                  </to>
                </anchor>
              </controlPr>
            </control>
          </mc:Choice>
        </mc:AlternateContent>
        <mc:AlternateContent xmlns:mc="http://schemas.openxmlformats.org/markup-compatibility/2006">
          <mc:Choice Requires="x14">
            <control shapeId="2996247" r:id="rId26" name="Option Button 23">
              <controlPr defaultSize="0" autoFill="0" autoLine="0" autoPict="0">
                <anchor moveWithCells="1">
                  <from>
                    <xdr:col>5</xdr:col>
                    <xdr:colOff>542925</xdr:colOff>
                    <xdr:row>87</xdr:row>
                    <xdr:rowOff>85725</xdr:rowOff>
                  </from>
                  <to>
                    <xdr:col>5</xdr:col>
                    <xdr:colOff>809625</xdr:colOff>
                    <xdr:row>88</xdr:row>
                    <xdr:rowOff>0</xdr:rowOff>
                  </to>
                </anchor>
              </controlPr>
            </control>
          </mc:Choice>
        </mc:AlternateContent>
        <mc:AlternateContent xmlns:mc="http://schemas.openxmlformats.org/markup-compatibility/2006">
          <mc:Choice Requires="x14">
            <control shapeId="2996248" r:id="rId27" name="Option Button 24">
              <controlPr defaultSize="0" autoFill="0" autoLine="0" autoPict="0">
                <anchor moveWithCells="1">
                  <from>
                    <xdr:col>6</xdr:col>
                    <xdr:colOff>457200</xdr:colOff>
                    <xdr:row>87</xdr:row>
                    <xdr:rowOff>85725</xdr:rowOff>
                  </from>
                  <to>
                    <xdr:col>6</xdr:col>
                    <xdr:colOff>752475</xdr:colOff>
                    <xdr:row>88</xdr:row>
                    <xdr:rowOff>0</xdr:rowOff>
                  </to>
                </anchor>
              </controlPr>
            </control>
          </mc:Choice>
        </mc:AlternateContent>
        <mc:AlternateContent xmlns:mc="http://schemas.openxmlformats.org/markup-compatibility/2006">
          <mc:Choice Requires="x14">
            <control shapeId="2996249" r:id="rId28" name="Group Box 25">
              <controlPr defaultSize="0" autoFill="0" autoPict="0">
                <anchor moveWithCells="1">
                  <from>
                    <xdr:col>5</xdr:col>
                    <xdr:colOff>0</xdr:colOff>
                    <xdr:row>89</xdr:row>
                    <xdr:rowOff>0</xdr:rowOff>
                  </from>
                  <to>
                    <xdr:col>7</xdr:col>
                    <xdr:colOff>0</xdr:colOff>
                    <xdr:row>90</xdr:row>
                    <xdr:rowOff>0</xdr:rowOff>
                  </to>
                </anchor>
              </controlPr>
            </control>
          </mc:Choice>
        </mc:AlternateContent>
        <mc:AlternateContent xmlns:mc="http://schemas.openxmlformats.org/markup-compatibility/2006">
          <mc:Choice Requires="x14">
            <control shapeId="2996250" r:id="rId29" name="Group Box 26">
              <controlPr defaultSize="0" autoFill="0" autoPict="0">
                <anchor moveWithCells="1">
                  <from>
                    <xdr:col>5</xdr:col>
                    <xdr:colOff>0</xdr:colOff>
                    <xdr:row>91</xdr:row>
                    <xdr:rowOff>0</xdr:rowOff>
                  </from>
                  <to>
                    <xdr:col>7</xdr:col>
                    <xdr:colOff>0</xdr:colOff>
                    <xdr:row>92</xdr:row>
                    <xdr:rowOff>0</xdr:rowOff>
                  </to>
                </anchor>
              </controlPr>
            </control>
          </mc:Choice>
        </mc:AlternateContent>
        <mc:AlternateContent xmlns:mc="http://schemas.openxmlformats.org/markup-compatibility/2006">
          <mc:Choice Requires="x14">
            <control shapeId="2996251" r:id="rId30" name="Group Box 27">
              <controlPr defaultSize="0" autoFill="0" autoPict="0">
                <anchor moveWithCells="1">
                  <from>
                    <xdr:col>5</xdr:col>
                    <xdr:colOff>0</xdr:colOff>
                    <xdr:row>93</xdr:row>
                    <xdr:rowOff>0</xdr:rowOff>
                  </from>
                  <to>
                    <xdr:col>7</xdr:col>
                    <xdr:colOff>0</xdr:colOff>
                    <xdr:row>94</xdr:row>
                    <xdr:rowOff>0</xdr:rowOff>
                  </to>
                </anchor>
              </controlPr>
            </control>
          </mc:Choice>
        </mc:AlternateContent>
        <mc:AlternateContent xmlns:mc="http://schemas.openxmlformats.org/markup-compatibility/2006">
          <mc:Choice Requires="x14">
            <control shapeId="2996252" r:id="rId31" name="Group Box 28">
              <controlPr defaultSize="0" autoFill="0" autoPict="0">
                <anchor moveWithCells="1">
                  <from>
                    <xdr:col>5</xdr:col>
                    <xdr:colOff>0</xdr:colOff>
                    <xdr:row>95</xdr:row>
                    <xdr:rowOff>0</xdr:rowOff>
                  </from>
                  <to>
                    <xdr:col>7</xdr:col>
                    <xdr:colOff>0</xdr:colOff>
                    <xdr:row>96</xdr:row>
                    <xdr:rowOff>0</xdr:rowOff>
                  </to>
                </anchor>
              </controlPr>
            </control>
          </mc:Choice>
        </mc:AlternateContent>
        <mc:AlternateContent xmlns:mc="http://schemas.openxmlformats.org/markup-compatibility/2006">
          <mc:Choice Requires="x14">
            <control shapeId="2996253" r:id="rId32" name="Option Button 29">
              <controlPr defaultSize="0" autoFill="0" autoLine="0" autoPict="0">
                <anchor moveWithCells="1">
                  <from>
                    <xdr:col>5</xdr:col>
                    <xdr:colOff>542925</xdr:colOff>
                    <xdr:row>95</xdr:row>
                    <xdr:rowOff>142875</xdr:rowOff>
                  </from>
                  <to>
                    <xdr:col>5</xdr:col>
                    <xdr:colOff>809625</xdr:colOff>
                    <xdr:row>96</xdr:row>
                    <xdr:rowOff>0</xdr:rowOff>
                  </to>
                </anchor>
              </controlPr>
            </control>
          </mc:Choice>
        </mc:AlternateContent>
        <mc:AlternateContent xmlns:mc="http://schemas.openxmlformats.org/markup-compatibility/2006">
          <mc:Choice Requires="x14">
            <control shapeId="2996254" r:id="rId33" name="Option Button 30">
              <controlPr defaultSize="0" autoFill="0" autoLine="0" autoPict="0">
                <anchor moveWithCells="1">
                  <from>
                    <xdr:col>6</xdr:col>
                    <xdr:colOff>457200</xdr:colOff>
                    <xdr:row>95</xdr:row>
                    <xdr:rowOff>152400</xdr:rowOff>
                  </from>
                  <to>
                    <xdr:col>6</xdr:col>
                    <xdr:colOff>752475</xdr:colOff>
                    <xdr:row>96</xdr:row>
                    <xdr:rowOff>0</xdr:rowOff>
                  </to>
                </anchor>
              </controlPr>
            </control>
          </mc:Choice>
        </mc:AlternateContent>
        <mc:AlternateContent xmlns:mc="http://schemas.openxmlformats.org/markup-compatibility/2006">
          <mc:Choice Requires="x14">
            <control shapeId="2996255" r:id="rId34" name="Group Box 31">
              <controlPr defaultSize="0" autoFill="0" autoPict="0">
                <anchor moveWithCells="1">
                  <from>
                    <xdr:col>5</xdr:col>
                    <xdr:colOff>0</xdr:colOff>
                    <xdr:row>97</xdr:row>
                    <xdr:rowOff>0</xdr:rowOff>
                  </from>
                  <to>
                    <xdr:col>7</xdr:col>
                    <xdr:colOff>0</xdr:colOff>
                    <xdr:row>98</xdr:row>
                    <xdr:rowOff>0</xdr:rowOff>
                  </to>
                </anchor>
              </controlPr>
            </control>
          </mc:Choice>
        </mc:AlternateContent>
        <mc:AlternateContent xmlns:mc="http://schemas.openxmlformats.org/markup-compatibility/2006">
          <mc:Choice Requires="x14">
            <control shapeId="2996256" r:id="rId35" name="Group Box 32">
              <controlPr defaultSize="0" autoFill="0" autoPict="0">
                <anchor moveWithCells="1">
                  <from>
                    <xdr:col>5</xdr:col>
                    <xdr:colOff>0</xdr:colOff>
                    <xdr:row>99</xdr:row>
                    <xdr:rowOff>0</xdr:rowOff>
                  </from>
                  <to>
                    <xdr:col>7</xdr:col>
                    <xdr:colOff>0</xdr:colOff>
                    <xdr:row>100</xdr:row>
                    <xdr:rowOff>0</xdr:rowOff>
                  </to>
                </anchor>
              </controlPr>
            </control>
          </mc:Choice>
        </mc:AlternateContent>
        <mc:AlternateContent xmlns:mc="http://schemas.openxmlformats.org/markup-compatibility/2006">
          <mc:Choice Requires="x14">
            <control shapeId="2996257" r:id="rId36" name="Group Box 33">
              <controlPr defaultSize="0" autoFill="0" autoPict="0">
                <anchor moveWithCells="1">
                  <from>
                    <xdr:col>5</xdr:col>
                    <xdr:colOff>0</xdr:colOff>
                    <xdr:row>101</xdr:row>
                    <xdr:rowOff>0</xdr:rowOff>
                  </from>
                  <to>
                    <xdr:col>7</xdr:col>
                    <xdr:colOff>0</xdr:colOff>
                    <xdr:row>102</xdr:row>
                    <xdr:rowOff>0</xdr:rowOff>
                  </to>
                </anchor>
              </controlPr>
            </control>
          </mc:Choice>
        </mc:AlternateContent>
        <mc:AlternateContent xmlns:mc="http://schemas.openxmlformats.org/markup-compatibility/2006">
          <mc:Choice Requires="x14">
            <control shapeId="2996258" r:id="rId37" name="Option Button 34">
              <controlPr defaultSize="0" autoFill="0" autoLine="0" autoPict="0">
                <anchor moveWithCells="1">
                  <from>
                    <xdr:col>5</xdr:col>
                    <xdr:colOff>533400</xdr:colOff>
                    <xdr:row>101</xdr:row>
                    <xdr:rowOff>142875</xdr:rowOff>
                  </from>
                  <to>
                    <xdr:col>5</xdr:col>
                    <xdr:colOff>790575</xdr:colOff>
                    <xdr:row>102</xdr:row>
                    <xdr:rowOff>0</xdr:rowOff>
                  </to>
                </anchor>
              </controlPr>
            </control>
          </mc:Choice>
        </mc:AlternateContent>
        <mc:AlternateContent xmlns:mc="http://schemas.openxmlformats.org/markup-compatibility/2006">
          <mc:Choice Requires="x14">
            <control shapeId="2996259" r:id="rId38" name="Option Button 35">
              <controlPr defaultSize="0" autoFill="0" autoLine="0" autoPict="0">
                <anchor moveWithCells="1">
                  <from>
                    <xdr:col>6</xdr:col>
                    <xdr:colOff>428625</xdr:colOff>
                    <xdr:row>101</xdr:row>
                    <xdr:rowOff>161925</xdr:rowOff>
                  </from>
                  <to>
                    <xdr:col>6</xdr:col>
                    <xdr:colOff>714375</xdr:colOff>
                    <xdr:row>102</xdr:row>
                    <xdr:rowOff>0</xdr:rowOff>
                  </to>
                </anchor>
              </controlPr>
            </control>
          </mc:Choice>
        </mc:AlternateContent>
        <mc:AlternateContent xmlns:mc="http://schemas.openxmlformats.org/markup-compatibility/2006">
          <mc:Choice Requires="x14">
            <control shapeId="2996260" r:id="rId39" name="Group Box 36">
              <controlPr defaultSize="0" autoFill="0" autoPict="0">
                <anchor moveWithCells="1">
                  <from>
                    <xdr:col>5</xdr:col>
                    <xdr:colOff>0</xdr:colOff>
                    <xdr:row>103</xdr:row>
                    <xdr:rowOff>0</xdr:rowOff>
                  </from>
                  <to>
                    <xdr:col>7</xdr:col>
                    <xdr:colOff>0</xdr:colOff>
                    <xdr:row>104</xdr:row>
                    <xdr:rowOff>0</xdr:rowOff>
                  </to>
                </anchor>
              </controlPr>
            </control>
          </mc:Choice>
        </mc:AlternateContent>
        <mc:AlternateContent xmlns:mc="http://schemas.openxmlformats.org/markup-compatibility/2006">
          <mc:Choice Requires="x14">
            <control shapeId="2996261" r:id="rId40" name="Option Button 37">
              <controlPr defaultSize="0" autoFill="0" autoLine="0" autoPict="0">
                <anchor moveWithCells="1">
                  <from>
                    <xdr:col>5</xdr:col>
                    <xdr:colOff>542925</xdr:colOff>
                    <xdr:row>103</xdr:row>
                    <xdr:rowOff>85725</xdr:rowOff>
                  </from>
                  <to>
                    <xdr:col>5</xdr:col>
                    <xdr:colOff>809625</xdr:colOff>
                    <xdr:row>104</xdr:row>
                    <xdr:rowOff>0</xdr:rowOff>
                  </to>
                </anchor>
              </controlPr>
            </control>
          </mc:Choice>
        </mc:AlternateContent>
        <mc:AlternateContent xmlns:mc="http://schemas.openxmlformats.org/markup-compatibility/2006">
          <mc:Choice Requires="x14">
            <control shapeId="2996262" r:id="rId41" name="Option Button 38">
              <controlPr defaultSize="0" autoFill="0" autoLine="0" autoPict="0">
                <anchor moveWithCells="1">
                  <from>
                    <xdr:col>6</xdr:col>
                    <xdr:colOff>457200</xdr:colOff>
                    <xdr:row>103</xdr:row>
                    <xdr:rowOff>85725</xdr:rowOff>
                  </from>
                  <to>
                    <xdr:col>6</xdr:col>
                    <xdr:colOff>752475</xdr:colOff>
                    <xdr:row>104</xdr:row>
                    <xdr:rowOff>0</xdr:rowOff>
                  </to>
                </anchor>
              </controlPr>
            </control>
          </mc:Choice>
        </mc:AlternateContent>
        <mc:AlternateContent xmlns:mc="http://schemas.openxmlformats.org/markup-compatibility/2006">
          <mc:Choice Requires="x14">
            <control shapeId="2996263" r:id="rId42" name="Option Button 39">
              <controlPr defaultSize="0" autoFill="0" autoLine="0" autoPict="0">
                <anchor moveWithCells="1">
                  <from>
                    <xdr:col>5</xdr:col>
                    <xdr:colOff>542925</xdr:colOff>
                    <xdr:row>89</xdr:row>
                    <xdr:rowOff>104775</xdr:rowOff>
                  </from>
                  <to>
                    <xdr:col>5</xdr:col>
                    <xdr:colOff>828675</xdr:colOff>
                    <xdr:row>89</xdr:row>
                    <xdr:rowOff>333375</xdr:rowOff>
                  </to>
                </anchor>
              </controlPr>
            </control>
          </mc:Choice>
        </mc:AlternateContent>
        <mc:AlternateContent xmlns:mc="http://schemas.openxmlformats.org/markup-compatibility/2006">
          <mc:Choice Requires="x14">
            <control shapeId="2996264" r:id="rId43" name="Option Button 40">
              <controlPr defaultSize="0" autoFill="0" autoLine="0" autoPict="0">
                <anchor moveWithCells="1">
                  <from>
                    <xdr:col>6</xdr:col>
                    <xdr:colOff>457200</xdr:colOff>
                    <xdr:row>89</xdr:row>
                    <xdr:rowOff>114300</xdr:rowOff>
                  </from>
                  <to>
                    <xdr:col>6</xdr:col>
                    <xdr:colOff>733425</xdr:colOff>
                    <xdr:row>89</xdr:row>
                    <xdr:rowOff>333375</xdr:rowOff>
                  </to>
                </anchor>
              </controlPr>
            </control>
          </mc:Choice>
        </mc:AlternateContent>
        <mc:AlternateContent xmlns:mc="http://schemas.openxmlformats.org/markup-compatibility/2006">
          <mc:Choice Requires="x14">
            <control shapeId="2996265" r:id="rId44" name="Option Button 41">
              <controlPr defaultSize="0" autoFill="0" autoLine="0" autoPict="0">
                <anchor moveWithCells="1">
                  <from>
                    <xdr:col>5</xdr:col>
                    <xdr:colOff>485775</xdr:colOff>
                    <xdr:row>91</xdr:row>
                    <xdr:rowOff>114300</xdr:rowOff>
                  </from>
                  <to>
                    <xdr:col>5</xdr:col>
                    <xdr:colOff>771525</xdr:colOff>
                    <xdr:row>91</xdr:row>
                    <xdr:rowOff>333375</xdr:rowOff>
                  </to>
                </anchor>
              </controlPr>
            </control>
          </mc:Choice>
        </mc:AlternateContent>
        <mc:AlternateContent xmlns:mc="http://schemas.openxmlformats.org/markup-compatibility/2006">
          <mc:Choice Requires="x14">
            <control shapeId="2996266" r:id="rId45" name="Option Button 42">
              <controlPr defaultSize="0" autoFill="0" autoLine="0" autoPict="0">
                <anchor moveWithCells="1">
                  <from>
                    <xdr:col>6</xdr:col>
                    <xdr:colOff>390525</xdr:colOff>
                    <xdr:row>91</xdr:row>
                    <xdr:rowOff>66675</xdr:rowOff>
                  </from>
                  <to>
                    <xdr:col>6</xdr:col>
                    <xdr:colOff>676275</xdr:colOff>
                    <xdr:row>91</xdr:row>
                    <xdr:rowOff>295275</xdr:rowOff>
                  </to>
                </anchor>
              </controlPr>
            </control>
          </mc:Choice>
        </mc:AlternateContent>
        <mc:AlternateContent xmlns:mc="http://schemas.openxmlformats.org/markup-compatibility/2006">
          <mc:Choice Requires="x14">
            <control shapeId="2996267" r:id="rId46" name="Option Button 43">
              <controlPr defaultSize="0" autoFill="0" autoLine="0" autoPict="0">
                <anchor moveWithCells="1">
                  <from>
                    <xdr:col>5</xdr:col>
                    <xdr:colOff>495300</xdr:colOff>
                    <xdr:row>93</xdr:row>
                    <xdr:rowOff>104775</xdr:rowOff>
                  </from>
                  <to>
                    <xdr:col>5</xdr:col>
                    <xdr:colOff>790575</xdr:colOff>
                    <xdr:row>93</xdr:row>
                    <xdr:rowOff>333375</xdr:rowOff>
                  </to>
                </anchor>
              </controlPr>
            </control>
          </mc:Choice>
        </mc:AlternateContent>
        <mc:AlternateContent xmlns:mc="http://schemas.openxmlformats.org/markup-compatibility/2006">
          <mc:Choice Requires="x14">
            <control shapeId="2996268" r:id="rId47" name="Option Button 44">
              <controlPr defaultSize="0" autoFill="0" autoLine="0" autoPict="0">
                <anchor moveWithCells="1">
                  <from>
                    <xdr:col>6</xdr:col>
                    <xdr:colOff>390525</xdr:colOff>
                    <xdr:row>93</xdr:row>
                    <xdr:rowOff>104775</xdr:rowOff>
                  </from>
                  <to>
                    <xdr:col>6</xdr:col>
                    <xdr:colOff>676275</xdr:colOff>
                    <xdr:row>93</xdr:row>
                    <xdr:rowOff>333375</xdr:rowOff>
                  </to>
                </anchor>
              </controlPr>
            </control>
          </mc:Choice>
        </mc:AlternateContent>
        <mc:AlternateContent xmlns:mc="http://schemas.openxmlformats.org/markup-compatibility/2006">
          <mc:Choice Requires="x14">
            <control shapeId="2996269" r:id="rId48" name="Option Button 45">
              <controlPr defaultSize="0" autoFill="0" autoLine="0" autoPict="0">
                <anchor moveWithCells="1">
                  <from>
                    <xdr:col>5</xdr:col>
                    <xdr:colOff>504825</xdr:colOff>
                    <xdr:row>97</xdr:row>
                    <xdr:rowOff>85725</xdr:rowOff>
                  </from>
                  <to>
                    <xdr:col>5</xdr:col>
                    <xdr:colOff>790575</xdr:colOff>
                    <xdr:row>97</xdr:row>
                    <xdr:rowOff>304800</xdr:rowOff>
                  </to>
                </anchor>
              </controlPr>
            </control>
          </mc:Choice>
        </mc:AlternateContent>
        <mc:AlternateContent xmlns:mc="http://schemas.openxmlformats.org/markup-compatibility/2006">
          <mc:Choice Requires="x14">
            <control shapeId="2996270" r:id="rId49" name="Option Button 46">
              <controlPr defaultSize="0" autoFill="0" autoLine="0" autoPict="0">
                <anchor moveWithCells="1">
                  <from>
                    <xdr:col>6</xdr:col>
                    <xdr:colOff>485775</xdr:colOff>
                    <xdr:row>97</xdr:row>
                    <xdr:rowOff>104775</xdr:rowOff>
                  </from>
                  <to>
                    <xdr:col>6</xdr:col>
                    <xdr:colOff>771525</xdr:colOff>
                    <xdr:row>97</xdr:row>
                    <xdr:rowOff>333375</xdr:rowOff>
                  </to>
                </anchor>
              </controlPr>
            </control>
          </mc:Choice>
        </mc:AlternateContent>
        <mc:AlternateContent xmlns:mc="http://schemas.openxmlformats.org/markup-compatibility/2006">
          <mc:Choice Requires="x14">
            <control shapeId="2996271" r:id="rId50" name="Option Button 47">
              <controlPr defaultSize="0" autoFill="0" autoLine="0" autoPict="0">
                <anchor moveWithCells="1">
                  <from>
                    <xdr:col>5</xdr:col>
                    <xdr:colOff>533400</xdr:colOff>
                    <xdr:row>99</xdr:row>
                    <xdr:rowOff>114300</xdr:rowOff>
                  </from>
                  <to>
                    <xdr:col>5</xdr:col>
                    <xdr:colOff>809625</xdr:colOff>
                    <xdr:row>99</xdr:row>
                    <xdr:rowOff>333375</xdr:rowOff>
                  </to>
                </anchor>
              </controlPr>
            </control>
          </mc:Choice>
        </mc:AlternateContent>
        <mc:AlternateContent xmlns:mc="http://schemas.openxmlformats.org/markup-compatibility/2006">
          <mc:Choice Requires="x14">
            <control shapeId="2996272" r:id="rId51" name="Option Button 48">
              <controlPr defaultSize="0" autoFill="0" autoLine="0" autoPict="0">
                <anchor moveWithCells="1">
                  <from>
                    <xdr:col>6</xdr:col>
                    <xdr:colOff>485775</xdr:colOff>
                    <xdr:row>99</xdr:row>
                    <xdr:rowOff>104775</xdr:rowOff>
                  </from>
                  <to>
                    <xdr:col>6</xdr:col>
                    <xdr:colOff>771525</xdr:colOff>
                    <xdr:row>99</xdr:row>
                    <xdr:rowOff>333375</xdr:rowOff>
                  </to>
                </anchor>
              </controlPr>
            </control>
          </mc:Choice>
        </mc:AlternateContent>
        <mc:AlternateContent xmlns:mc="http://schemas.openxmlformats.org/markup-compatibility/2006">
          <mc:Choice Requires="x14">
            <control shapeId="2996273" r:id="rId52" name="Group Box 49">
              <controlPr defaultSize="0" autoFill="0" autoPict="0">
                <anchor moveWithCells="1">
                  <from>
                    <xdr:col>5</xdr:col>
                    <xdr:colOff>0</xdr:colOff>
                    <xdr:row>46</xdr:row>
                    <xdr:rowOff>0</xdr:rowOff>
                  </from>
                  <to>
                    <xdr:col>7</xdr:col>
                    <xdr:colOff>0</xdr:colOff>
                    <xdr:row>47</xdr:row>
                    <xdr:rowOff>0</xdr:rowOff>
                  </to>
                </anchor>
              </controlPr>
            </control>
          </mc:Choice>
        </mc:AlternateContent>
        <mc:AlternateContent xmlns:mc="http://schemas.openxmlformats.org/markup-compatibility/2006">
          <mc:Choice Requires="x14">
            <control shapeId="2996274" r:id="rId53" name="Option Button 50">
              <controlPr defaultSize="0" autoFill="0" autoLine="0" autoPict="0">
                <anchor moveWithCells="1">
                  <from>
                    <xdr:col>5</xdr:col>
                    <xdr:colOff>533400</xdr:colOff>
                    <xdr:row>46</xdr:row>
                    <xdr:rowOff>9525</xdr:rowOff>
                  </from>
                  <to>
                    <xdr:col>5</xdr:col>
                    <xdr:colOff>809625</xdr:colOff>
                    <xdr:row>46</xdr:row>
                    <xdr:rowOff>238125</xdr:rowOff>
                  </to>
                </anchor>
              </controlPr>
            </control>
          </mc:Choice>
        </mc:AlternateContent>
        <mc:AlternateContent xmlns:mc="http://schemas.openxmlformats.org/markup-compatibility/2006">
          <mc:Choice Requires="x14">
            <control shapeId="2996275" r:id="rId54" name="Option Button 51">
              <controlPr defaultSize="0" autoFill="0" autoLine="0" autoPict="0">
                <anchor moveWithCells="1">
                  <from>
                    <xdr:col>6</xdr:col>
                    <xdr:colOff>457200</xdr:colOff>
                    <xdr:row>46</xdr:row>
                    <xdr:rowOff>9525</xdr:rowOff>
                  </from>
                  <to>
                    <xdr:col>6</xdr:col>
                    <xdr:colOff>733425</xdr:colOff>
                    <xdr:row>46</xdr:row>
                    <xdr:rowOff>238125</xdr:rowOff>
                  </to>
                </anchor>
              </controlPr>
            </control>
          </mc:Choice>
        </mc:AlternateContent>
        <mc:AlternateContent xmlns:mc="http://schemas.openxmlformats.org/markup-compatibility/2006">
          <mc:Choice Requires="x14">
            <control shapeId="2996276" r:id="rId55" name="Group Box 52">
              <controlPr defaultSize="0" autoFill="0" autoPict="0">
                <anchor moveWithCells="1">
                  <from>
                    <xdr:col>5</xdr:col>
                    <xdr:colOff>0</xdr:colOff>
                    <xdr:row>48</xdr:row>
                    <xdr:rowOff>0</xdr:rowOff>
                  </from>
                  <to>
                    <xdr:col>7</xdr:col>
                    <xdr:colOff>0</xdr:colOff>
                    <xdr:row>49</xdr:row>
                    <xdr:rowOff>0</xdr:rowOff>
                  </to>
                </anchor>
              </controlPr>
            </control>
          </mc:Choice>
        </mc:AlternateContent>
        <mc:AlternateContent xmlns:mc="http://schemas.openxmlformats.org/markup-compatibility/2006">
          <mc:Choice Requires="x14">
            <control shapeId="2996277" r:id="rId56" name="Option Button 53">
              <controlPr defaultSize="0" autoFill="0" autoLine="0" autoPict="0">
                <anchor moveWithCells="1">
                  <from>
                    <xdr:col>5</xdr:col>
                    <xdr:colOff>542925</xdr:colOff>
                    <xdr:row>48</xdr:row>
                    <xdr:rowOff>142875</xdr:rowOff>
                  </from>
                  <to>
                    <xdr:col>5</xdr:col>
                    <xdr:colOff>828675</xdr:colOff>
                    <xdr:row>48</xdr:row>
                    <xdr:rowOff>371475</xdr:rowOff>
                  </to>
                </anchor>
              </controlPr>
            </control>
          </mc:Choice>
        </mc:AlternateContent>
        <mc:AlternateContent xmlns:mc="http://schemas.openxmlformats.org/markup-compatibility/2006">
          <mc:Choice Requires="x14">
            <control shapeId="2996278" r:id="rId57" name="Option Button 54">
              <controlPr defaultSize="0" autoFill="0" autoLine="0" autoPict="0">
                <anchor moveWithCells="1">
                  <from>
                    <xdr:col>6</xdr:col>
                    <xdr:colOff>457200</xdr:colOff>
                    <xdr:row>48</xdr:row>
                    <xdr:rowOff>142875</xdr:rowOff>
                  </from>
                  <to>
                    <xdr:col>6</xdr:col>
                    <xdr:colOff>733425</xdr:colOff>
                    <xdr:row>48</xdr:row>
                    <xdr:rowOff>409575</xdr:rowOff>
                  </to>
                </anchor>
              </controlPr>
            </control>
          </mc:Choice>
        </mc:AlternateContent>
        <mc:AlternateContent xmlns:mc="http://schemas.openxmlformats.org/markup-compatibility/2006">
          <mc:Choice Requires="x14">
            <control shapeId="2996279" r:id="rId58" name="Group Box 55">
              <controlPr defaultSize="0" autoFill="0" autoPict="0">
                <anchor moveWithCells="1">
                  <from>
                    <xdr:col>5</xdr:col>
                    <xdr:colOff>0</xdr:colOff>
                    <xdr:row>51</xdr:row>
                    <xdr:rowOff>0</xdr:rowOff>
                  </from>
                  <to>
                    <xdr:col>7</xdr:col>
                    <xdr:colOff>0</xdr:colOff>
                    <xdr:row>61</xdr:row>
                    <xdr:rowOff>0</xdr:rowOff>
                  </to>
                </anchor>
              </controlPr>
            </control>
          </mc:Choice>
        </mc:AlternateContent>
        <mc:AlternateContent xmlns:mc="http://schemas.openxmlformats.org/markup-compatibility/2006">
          <mc:Choice Requires="x14">
            <control shapeId="2996280" r:id="rId59" name="Option Button 56">
              <controlPr defaultSize="0" autoFill="0" autoLine="0" autoPict="0">
                <anchor moveWithCells="1">
                  <from>
                    <xdr:col>5</xdr:col>
                    <xdr:colOff>533400</xdr:colOff>
                    <xdr:row>51</xdr:row>
                    <xdr:rowOff>28575</xdr:rowOff>
                  </from>
                  <to>
                    <xdr:col>5</xdr:col>
                    <xdr:colOff>809625</xdr:colOff>
                    <xdr:row>51</xdr:row>
                    <xdr:rowOff>257175</xdr:rowOff>
                  </to>
                </anchor>
              </controlPr>
            </control>
          </mc:Choice>
        </mc:AlternateContent>
        <mc:AlternateContent xmlns:mc="http://schemas.openxmlformats.org/markup-compatibility/2006">
          <mc:Choice Requires="x14">
            <control shapeId="2996281" r:id="rId60" name="Option Button 57">
              <controlPr defaultSize="0" autoFill="0" autoLine="0" autoPict="0">
                <anchor moveWithCells="1">
                  <from>
                    <xdr:col>6</xdr:col>
                    <xdr:colOff>457200</xdr:colOff>
                    <xdr:row>51</xdr:row>
                    <xdr:rowOff>28575</xdr:rowOff>
                  </from>
                  <to>
                    <xdr:col>6</xdr:col>
                    <xdr:colOff>733425</xdr:colOff>
                    <xdr:row>51</xdr:row>
                    <xdr:rowOff>295275</xdr:rowOff>
                  </to>
                </anchor>
              </controlPr>
            </control>
          </mc:Choice>
        </mc:AlternateContent>
        <mc:AlternateContent xmlns:mc="http://schemas.openxmlformats.org/markup-compatibility/2006">
          <mc:Choice Requires="x14">
            <control shapeId="2996282" r:id="rId61" name="Group Box 58">
              <controlPr defaultSize="0" autoFill="0" autoPict="0">
                <anchor moveWithCells="1">
                  <from>
                    <xdr:col>5</xdr:col>
                    <xdr:colOff>0</xdr:colOff>
                    <xdr:row>161</xdr:row>
                    <xdr:rowOff>0</xdr:rowOff>
                  </from>
                  <to>
                    <xdr:col>6</xdr:col>
                    <xdr:colOff>1114425</xdr:colOff>
                    <xdr:row>162</xdr:row>
                    <xdr:rowOff>9525</xdr:rowOff>
                  </to>
                </anchor>
              </controlPr>
            </control>
          </mc:Choice>
        </mc:AlternateContent>
        <mc:AlternateContent xmlns:mc="http://schemas.openxmlformats.org/markup-compatibility/2006">
          <mc:Choice Requires="x14">
            <control shapeId="2996283" r:id="rId62" name="Option Button 59">
              <controlPr defaultSize="0" autoFill="0" autoLine="0" autoPict="0">
                <anchor moveWithCells="1">
                  <from>
                    <xdr:col>5</xdr:col>
                    <xdr:colOff>504825</xdr:colOff>
                    <xdr:row>161</xdr:row>
                    <xdr:rowOff>9525</xdr:rowOff>
                  </from>
                  <to>
                    <xdr:col>5</xdr:col>
                    <xdr:colOff>733425</xdr:colOff>
                    <xdr:row>161</xdr:row>
                    <xdr:rowOff>200025</xdr:rowOff>
                  </to>
                </anchor>
              </controlPr>
            </control>
          </mc:Choice>
        </mc:AlternateContent>
        <mc:AlternateContent xmlns:mc="http://schemas.openxmlformats.org/markup-compatibility/2006">
          <mc:Choice Requires="x14">
            <control shapeId="2996284" r:id="rId63" name="Option Button 60">
              <controlPr defaultSize="0" autoFill="0" autoLine="0" autoPict="0">
                <anchor moveWithCells="1">
                  <from>
                    <xdr:col>6</xdr:col>
                    <xdr:colOff>457200</xdr:colOff>
                    <xdr:row>161</xdr:row>
                    <xdr:rowOff>9525</xdr:rowOff>
                  </from>
                  <to>
                    <xdr:col>6</xdr:col>
                    <xdr:colOff>714375</xdr:colOff>
                    <xdr:row>162</xdr:row>
                    <xdr:rowOff>0</xdr:rowOff>
                  </to>
                </anchor>
              </controlPr>
            </control>
          </mc:Choice>
        </mc:AlternateContent>
        <mc:AlternateContent xmlns:mc="http://schemas.openxmlformats.org/markup-compatibility/2006">
          <mc:Choice Requires="x14">
            <control shapeId="2996285" r:id="rId64" name="Group Box 61">
              <controlPr defaultSize="0" autoFill="0" autoPict="0">
                <anchor moveWithCells="1">
                  <from>
                    <xdr:col>5</xdr:col>
                    <xdr:colOff>0</xdr:colOff>
                    <xdr:row>162</xdr:row>
                    <xdr:rowOff>0</xdr:rowOff>
                  </from>
                  <to>
                    <xdr:col>7</xdr:col>
                    <xdr:colOff>0</xdr:colOff>
                    <xdr:row>163</xdr:row>
                    <xdr:rowOff>9525</xdr:rowOff>
                  </to>
                </anchor>
              </controlPr>
            </control>
          </mc:Choice>
        </mc:AlternateContent>
        <mc:AlternateContent xmlns:mc="http://schemas.openxmlformats.org/markup-compatibility/2006">
          <mc:Choice Requires="x14">
            <control shapeId="2996286" r:id="rId65" name="Option Button 62">
              <controlPr defaultSize="0" autoFill="0" autoLine="0" autoPict="0">
                <anchor moveWithCells="1">
                  <from>
                    <xdr:col>5</xdr:col>
                    <xdr:colOff>504825</xdr:colOff>
                    <xdr:row>162</xdr:row>
                    <xdr:rowOff>9525</xdr:rowOff>
                  </from>
                  <to>
                    <xdr:col>5</xdr:col>
                    <xdr:colOff>733425</xdr:colOff>
                    <xdr:row>162</xdr:row>
                    <xdr:rowOff>200025</xdr:rowOff>
                  </to>
                </anchor>
              </controlPr>
            </control>
          </mc:Choice>
        </mc:AlternateContent>
        <mc:AlternateContent xmlns:mc="http://schemas.openxmlformats.org/markup-compatibility/2006">
          <mc:Choice Requires="x14">
            <control shapeId="2996287" r:id="rId66" name="Option Button 63">
              <controlPr defaultSize="0" autoFill="0" autoLine="0" autoPict="0">
                <anchor moveWithCells="1">
                  <from>
                    <xdr:col>6</xdr:col>
                    <xdr:colOff>457200</xdr:colOff>
                    <xdr:row>162</xdr:row>
                    <xdr:rowOff>9525</xdr:rowOff>
                  </from>
                  <to>
                    <xdr:col>6</xdr:col>
                    <xdr:colOff>714375</xdr:colOff>
                    <xdr:row>163</xdr:row>
                    <xdr:rowOff>0</xdr:rowOff>
                  </to>
                </anchor>
              </controlPr>
            </control>
          </mc:Choice>
        </mc:AlternateContent>
        <mc:AlternateContent xmlns:mc="http://schemas.openxmlformats.org/markup-compatibility/2006">
          <mc:Choice Requires="x14">
            <control shapeId="2996288" r:id="rId67" name="Group Box 64">
              <controlPr defaultSize="0" autoFill="0" autoPict="0">
                <anchor moveWithCells="1">
                  <from>
                    <xdr:col>5</xdr:col>
                    <xdr:colOff>0</xdr:colOff>
                    <xdr:row>163</xdr:row>
                    <xdr:rowOff>0</xdr:rowOff>
                  </from>
                  <to>
                    <xdr:col>7</xdr:col>
                    <xdr:colOff>0</xdr:colOff>
                    <xdr:row>164</xdr:row>
                    <xdr:rowOff>9525</xdr:rowOff>
                  </to>
                </anchor>
              </controlPr>
            </control>
          </mc:Choice>
        </mc:AlternateContent>
        <mc:AlternateContent xmlns:mc="http://schemas.openxmlformats.org/markup-compatibility/2006">
          <mc:Choice Requires="x14">
            <control shapeId="2996289" r:id="rId68" name="Option Button 65">
              <controlPr defaultSize="0" autoFill="0" autoLine="0" autoPict="0">
                <anchor moveWithCells="1">
                  <from>
                    <xdr:col>5</xdr:col>
                    <xdr:colOff>504825</xdr:colOff>
                    <xdr:row>163</xdr:row>
                    <xdr:rowOff>9525</xdr:rowOff>
                  </from>
                  <to>
                    <xdr:col>5</xdr:col>
                    <xdr:colOff>733425</xdr:colOff>
                    <xdr:row>163</xdr:row>
                    <xdr:rowOff>200025</xdr:rowOff>
                  </to>
                </anchor>
              </controlPr>
            </control>
          </mc:Choice>
        </mc:AlternateContent>
        <mc:AlternateContent xmlns:mc="http://schemas.openxmlformats.org/markup-compatibility/2006">
          <mc:Choice Requires="x14">
            <control shapeId="2996290" r:id="rId69" name="Option Button 66">
              <controlPr defaultSize="0" autoFill="0" autoLine="0" autoPict="0">
                <anchor moveWithCells="1">
                  <from>
                    <xdr:col>6</xdr:col>
                    <xdr:colOff>457200</xdr:colOff>
                    <xdr:row>163</xdr:row>
                    <xdr:rowOff>9525</xdr:rowOff>
                  </from>
                  <to>
                    <xdr:col>6</xdr:col>
                    <xdr:colOff>714375</xdr:colOff>
                    <xdr:row>164</xdr:row>
                    <xdr:rowOff>0</xdr:rowOff>
                  </to>
                </anchor>
              </controlPr>
            </control>
          </mc:Choice>
        </mc:AlternateContent>
        <mc:AlternateContent xmlns:mc="http://schemas.openxmlformats.org/markup-compatibility/2006">
          <mc:Choice Requires="x14">
            <control shapeId="2996291" r:id="rId70" name="Group Box 67">
              <controlPr defaultSize="0" autoFill="0" autoPict="0">
                <anchor moveWithCells="1">
                  <from>
                    <xdr:col>5</xdr:col>
                    <xdr:colOff>0</xdr:colOff>
                    <xdr:row>164</xdr:row>
                    <xdr:rowOff>0</xdr:rowOff>
                  </from>
                  <to>
                    <xdr:col>7</xdr:col>
                    <xdr:colOff>0</xdr:colOff>
                    <xdr:row>165</xdr:row>
                    <xdr:rowOff>9525</xdr:rowOff>
                  </to>
                </anchor>
              </controlPr>
            </control>
          </mc:Choice>
        </mc:AlternateContent>
        <mc:AlternateContent xmlns:mc="http://schemas.openxmlformats.org/markup-compatibility/2006">
          <mc:Choice Requires="x14">
            <control shapeId="2996292" r:id="rId71" name="Option Button 68">
              <controlPr defaultSize="0" autoFill="0" autoLine="0" autoPict="0">
                <anchor moveWithCells="1">
                  <from>
                    <xdr:col>5</xdr:col>
                    <xdr:colOff>504825</xdr:colOff>
                    <xdr:row>164</xdr:row>
                    <xdr:rowOff>9525</xdr:rowOff>
                  </from>
                  <to>
                    <xdr:col>5</xdr:col>
                    <xdr:colOff>733425</xdr:colOff>
                    <xdr:row>164</xdr:row>
                    <xdr:rowOff>200025</xdr:rowOff>
                  </to>
                </anchor>
              </controlPr>
            </control>
          </mc:Choice>
        </mc:AlternateContent>
        <mc:AlternateContent xmlns:mc="http://schemas.openxmlformats.org/markup-compatibility/2006">
          <mc:Choice Requires="x14">
            <control shapeId="2996293" r:id="rId72" name="Option Button 69">
              <controlPr defaultSize="0" autoFill="0" autoLine="0" autoPict="0">
                <anchor moveWithCells="1">
                  <from>
                    <xdr:col>6</xdr:col>
                    <xdr:colOff>457200</xdr:colOff>
                    <xdr:row>164</xdr:row>
                    <xdr:rowOff>9525</xdr:rowOff>
                  </from>
                  <to>
                    <xdr:col>6</xdr:col>
                    <xdr:colOff>714375</xdr:colOff>
                    <xdr:row>165</xdr:row>
                    <xdr:rowOff>0</xdr:rowOff>
                  </to>
                </anchor>
              </controlPr>
            </control>
          </mc:Choice>
        </mc:AlternateContent>
        <mc:AlternateContent xmlns:mc="http://schemas.openxmlformats.org/markup-compatibility/2006">
          <mc:Choice Requires="x14">
            <control shapeId="2996294" r:id="rId73" name="Group Box 70">
              <controlPr defaultSize="0" autoFill="0" autoPict="0">
                <anchor moveWithCells="1">
                  <from>
                    <xdr:col>5</xdr:col>
                    <xdr:colOff>0</xdr:colOff>
                    <xdr:row>165</xdr:row>
                    <xdr:rowOff>0</xdr:rowOff>
                  </from>
                  <to>
                    <xdr:col>7</xdr:col>
                    <xdr:colOff>0</xdr:colOff>
                    <xdr:row>166</xdr:row>
                    <xdr:rowOff>0</xdr:rowOff>
                  </to>
                </anchor>
              </controlPr>
            </control>
          </mc:Choice>
        </mc:AlternateContent>
        <mc:AlternateContent xmlns:mc="http://schemas.openxmlformats.org/markup-compatibility/2006">
          <mc:Choice Requires="x14">
            <control shapeId="2996295" r:id="rId74" name="Option Button 71">
              <controlPr defaultSize="0" autoFill="0" autoLine="0" autoPict="0">
                <anchor moveWithCells="1">
                  <from>
                    <xdr:col>5</xdr:col>
                    <xdr:colOff>504825</xdr:colOff>
                    <xdr:row>165</xdr:row>
                    <xdr:rowOff>9525</xdr:rowOff>
                  </from>
                  <to>
                    <xdr:col>5</xdr:col>
                    <xdr:colOff>733425</xdr:colOff>
                    <xdr:row>165</xdr:row>
                    <xdr:rowOff>200025</xdr:rowOff>
                  </to>
                </anchor>
              </controlPr>
            </control>
          </mc:Choice>
        </mc:AlternateContent>
        <mc:AlternateContent xmlns:mc="http://schemas.openxmlformats.org/markup-compatibility/2006">
          <mc:Choice Requires="x14">
            <control shapeId="2996296" r:id="rId75" name="Option Button 72">
              <controlPr defaultSize="0" autoFill="0" autoLine="0" autoPict="0">
                <anchor moveWithCells="1">
                  <from>
                    <xdr:col>6</xdr:col>
                    <xdr:colOff>457200</xdr:colOff>
                    <xdr:row>165</xdr:row>
                    <xdr:rowOff>9525</xdr:rowOff>
                  </from>
                  <to>
                    <xdr:col>6</xdr:col>
                    <xdr:colOff>714375</xdr:colOff>
                    <xdr:row>166</xdr:row>
                    <xdr:rowOff>0</xdr:rowOff>
                  </to>
                </anchor>
              </controlPr>
            </control>
          </mc:Choice>
        </mc:AlternateContent>
        <mc:AlternateContent xmlns:mc="http://schemas.openxmlformats.org/markup-compatibility/2006">
          <mc:Choice Requires="x14">
            <control shapeId="2996297" r:id="rId76" name="Group Box 73">
              <controlPr defaultSize="0" autoFill="0" autoPict="0">
                <anchor moveWithCells="1">
                  <from>
                    <xdr:col>5</xdr:col>
                    <xdr:colOff>0</xdr:colOff>
                    <xdr:row>171</xdr:row>
                    <xdr:rowOff>0</xdr:rowOff>
                  </from>
                  <to>
                    <xdr:col>7</xdr:col>
                    <xdr:colOff>0</xdr:colOff>
                    <xdr:row>172</xdr:row>
                    <xdr:rowOff>0</xdr:rowOff>
                  </to>
                </anchor>
              </controlPr>
            </control>
          </mc:Choice>
        </mc:AlternateContent>
        <mc:AlternateContent xmlns:mc="http://schemas.openxmlformats.org/markup-compatibility/2006">
          <mc:Choice Requires="x14">
            <control shapeId="2996298" r:id="rId77" name="Option Button 74">
              <controlPr defaultSize="0" autoFill="0" autoLine="0" autoPict="0">
                <anchor moveWithCells="1">
                  <from>
                    <xdr:col>5</xdr:col>
                    <xdr:colOff>533400</xdr:colOff>
                    <xdr:row>171</xdr:row>
                    <xdr:rowOff>104775</xdr:rowOff>
                  </from>
                  <to>
                    <xdr:col>5</xdr:col>
                    <xdr:colOff>790575</xdr:colOff>
                    <xdr:row>171</xdr:row>
                    <xdr:rowOff>333375</xdr:rowOff>
                  </to>
                </anchor>
              </controlPr>
            </control>
          </mc:Choice>
        </mc:AlternateContent>
        <mc:AlternateContent xmlns:mc="http://schemas.openxmlformats.org/markup-compatibility/2006">
          <mc:Choice Requires="x14">
            <control shapeId="2996299" r:id="rId78" name="Option Button 75">
              <controlPr defaultSize="0" autoFill="0" autoLine="0" autoPict="0">
                <anchor moveWithCells="1">
                  <from>
                    <xdr:col>6</xdr:col>
                    <xdr:colOff>485775</xdr:colOff>
                    <xdr:row>171</xdr:row>
                    <xdr:rowOff>104775</xdr:rowOff>
                  </from>
                  <to>
                    <xdr:col>6</xdr:col>
                    <xdr:colOff>771525</xdr:colOff>
                    <xdr:row>171</xdr:row>
                    <xdr:rowOff>371475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5">
    <pageSetUpPr fitToPage="1"/>
  </sheetPr>
  <dimension ref="A1:M34"/>
  <sheetViews>
    <sheetView showGridLines="0" workbookViewId="0">
      <pane ySplit="5" topLeftCell="A6" activePane="bottomLeft" state="frozen"/>
      <selection activeCell="A2" sqref="A2"/>
      <selection pane="bottomLeft" activeCell="B5" sqref="B5"/>
    </sheetView>
  </sheetViews>
  <sheetFormatPr defaultColWidth="9.33203125" defaultRowHeight="11.25" x14ac:dyDescent="0.2"/>
  <cols>
    <col min="1" max="1" width="38.5" style="3" customWidth="1"/>
    <col min="2" max="2" width="11.6640625" style="2" customWidth="1"/>
    <col min="3" max="3" width="17" style="2" bestFit="1" customWidth="1"/>
    <col min="4" max="8" width="15.6640625" style="2" customWidth="1"/>
    <col min="9" max="9" width="14.6640625" style="2" customWidth="1"/>
    <col min="10" max="16384" width="9.33203125" style="3"/>
  </cols>
  <sheetData>
    <row r="1" spans="1:13" ht="43.5" customHeight="1" x14ac:dyDescent="0.2">
      <c r="A1" s="1486" t="str">
        <f>'t1'!A1</f>
        <v>REGIONE VALLE D'AOSTA - anno 2024</v>
      </c>
      <c r="B1" s="1486"/>
      <c r="C1" s="1486"/>
      <c r="D1" s="1486"/>
      <c r="E1" s="1486"/>
      <c r="F1" s="1486"/>
      <c r="G1" s="1486"/>
      <c r="H1" s="273"/>
      <c r="I1" s="270"/>
      <c r="M1"/>
    </row>
    <row r="2" spans="1:13" ht="21" customHeight="1" x14ac:dyDescent="0.2">
      <c r="B2" s="3"/>
      <c r="C2" s="3"/>
      <c r="D2" s="1573"/>
      <c r="E2" s="1573"/>
      <c r="F2" s="1573"/>
      <c r="G2" s="1573"/>
      <c r="H2" s="1573"/>
      <c r="I2" s="1573"/>
      <c r="J2" s="274"/>
      <c r="M2"/>
    </row>
    <row r="3" spans="1:13" ht="21" customHeight="1" x14ac:dyDescent="0.25">
      <c r="A3" s="168" t="s">
        <v>254</v>
      </c>
      <c r="C3" s="3"/>
      <c r="D3" s="3"/>
      <c r="E3" s="3"/>
      <c r="F3" s="3"/>
      <c r="G3" s="3"/>
      <c r="H3" s="3"/>
      <c r="I3" s="3"/>
    </row>
    <row r="4" spans="1:13" ht="49.5" customHeight="1" x14ac:dyDescent="0.2">
      <c r="A4" s="155" t="s">
        <v>192</v>
      </c>
      <c r="B4" s="155" t="s">
        <v>191</v>
      </c>
      <c r="C4" s="155" t="str">
        <f>"Presenti 31.12 anno precedente (Tab 1)"</f>
        <v>Presenti 31.12 anno precedente (Tab 1)</v>
      </c>
      <c r="D4" s="155" t="s">
        <v>213</v>
      </c>
      <c r="E4" s="155" t="s">
        <v>214</v>
      </c>
      <c r="F4" s="155" t="s">
        <v>215</v>
      </c>
      <c r="G4" s="155" t="s">
        <v>226</v>
      </c>
      <c r="H4" s="155" t="s">
        <v>216</v>
      </c>
      <c r="I4" s="155" t="s">
        <v>183</v>
      </c>
    </row>
    <row r="5" spans="1:13" x14ac:dyDescent="0.2">
      <c r="A5" s="276"/>
      <c r="B5" s="155"/>
      <c r="C5" s="166" t="s">
        <v>193</v>
      </c>
      <c r="D5" s="166" t="s">
        <v>194</v>
      </c>
      <c r="E5" s="166" t="s">
        <v>195</v>
      </c>
      <c r="F5" s="166" t="s">
        <v>196</v>
      </c>
      <c r="G5" s="166" t="s">
        <v>225</v>
      </c>
      <c r="H5" s="166" t="s">
        <v>217</v>
      </c>
      <c r="I5" s="166" t="s">
        <v>218</v>
      </c>
    </row>
    <row r="6" spans="1:13" ht="14.1" customHeight="1" x14ac:dyDescent="0.2">
      <c r="A6" s="129" t="str">
        <f>'t1'!A6</f>
        <v>SEGRETARIO I FASCIA</v>
      </c>
      <c r="B6" s="158" t="str">
        <f>'t1'!B6</f>
        <v>0D0102</v>
      </c>
      <c r="C6" s="292">
        <f>'t1'!C6+'t1'!D6</f>
        <v>0</v>
      </c>
      <c r="D6" s="292">
        <f>'t5'!U7+'t5'!V7</f>
        <v>0</v>
      </c>
      <c r="E6" s="293">
        <f>'t6'!U7+'t6'!V7</f>
        <v>0</v>
      </c>
      <c r="F6" s="293">
        <f>'t4'!C43</f>
        <v>0</v>
      </c>
      <c r="G6" s="293">
        <f>C6-D6+E6+F6</f>
        <v>0</v>
      </c>
      <c r="H6" s="293">
        <f>'t4'!AE15</f>
        <v>0</v>
      </c>
      <c r="I6" s="86" t="str">
        <f>IF(H6&lt;=G6,"OK","ERRORE")</f>
        <v>OK</v>
      </c>
    </row>
    <row r="7" spans="1:13" ht="14.1" customHeight="1" x14ac:dyDescent="0.2">
      <c r="A7" s="129" t="str">
        <f>'t1'!A7</f>
        <v>SEGRETARIO II FASCIA</v>
      </c>
      <c r="B7" s="158" t="str">
        <f>'t1'!B7</f>
        <v>0D0103</v>
      </c>
      <c r="C7" s="292">
        <f>'t1'!C7+'t1'!D7</f>
        <v>0</v>
      </c>
      <c r="D7" s="292">
        <f>'t5'!U8+'t5'!V8</f>
        <v>0</v>
      </c>
      <c r="E7" s="293">
        <f>'t6'!U8+'t6'!V8</f>
        <v>0</v>
      </c>
      <c r="F7" s="293">
        <f>'t4'!D43</f>
        <v>0</v>
      </c>
      <c r="G7" s="293">
        <f>C7-D7+E7+F7</f>
        <v>0</v>
      </c>
      <c r="H7" s="293">
        <f>'t4'!AE16</f>
        <v>0</v>
      </c>
      <c r="I7" s="86" t="str">
        <f>IF(H7&lt;=G7,"OK","ERRORE")</f>
        <v>OK</v>
      </c>
    </row>
    <row r="8" spans="1:13" ht="14.1" customHeight="1" x14ac:dyDescent="0.2">
      <c r="A8" s="129" t="str">
        <f>'t1'!A8</f>
        <v>SEGRETARIO III FASCIA</v>
      </c>
      <c r="B8" s="158" t="str">
        <f>'t1'!B8</f>
        <v>0D0485</v>
      </c>
      <c r="C8" s="292">
        <f>'t1'!C8+'t1'!D8</f>
        <v>0</v>
      </c>
      <c r="D8" s="292">
        <f>'t5'!U9+'t5'!V9</f>
        <v>0</v>
      </c>
      <c r="E8" s="293">
        <f>'t6'!U9+'t6'!V9</f>
        <v>0</v>
      </c>
      <c r="F8" s="293">
        <f>'t4'!E43</f>
        <v>0</v>
      </c>
      <c r="G8" s="293">
        <f>C8-D8+E8+F8</f>
        <v>0</v>
      </c>
      <c r="H8" s="293">
        <f>'t4'!AE17</f>
        <v>0</v>
      </c>
      <c r="I8" s="86" t="str">
        <f>IF(H8&lt;=G8,"OK","ERRORE")</f>
        <v>OK</v>
      </c>
    </row>
    <row r="9" spans="1:13" ht="14.1" customHeight="1" x14ac:dyDescent="0.2">
      <c r="A9" s="129" t="str">
        <f>'t1'!A9</f>
        <v>DIRIGENTI</v>
      </c>
      <c r="B9" s="158" t="str">
        <f>'t1'!B9</f>
        <v>0D0164</v>
      </c>
      <c r="C9" s="292">
        <f>'t1'!C9+'t1'!D9</f>
        <v>110</v>
      </c>
      <c r="D9" s="292">
        <f>'t5'!U10+'t5'!V10</f>
        <v>9</v>
      </c>
      <c r="E9" s="293">
        <f>'t6'!U10+'t6'!V10</f>
        <v>9</v>
      </c>
      <c r="F9" s="293">
        <f>'t4'!F43</f>
        <v>2</v>
      </c>
      <c r="G9" s="293">
        <f>C9-D9+E9+F9</f>
        <v>112</v>
      </c>
      <c r="H9" s="293">
        <f>'t4'!AE18</f>
        <v>0</v>
      </c>
      <c r="I9" s="86" t="str">
        <f>IF(H9&lt;=G9,"OK","ERRORE")</f>
        <v>OK</v>
      </c>
    </row>
    <row r="10" spans="1:13" ht="14.1" customHeight="1" x14ac:dyDescent="0.2">
      <c r="A10" s="129" t="str">
        <f>'t1'!A10</f>
        <v>POSIZIONE ECONOMICA D</v>
      </c>
      <c r="B10" s="158" t="str">
        <f>'t1'!B10</f>
        <v>047000</v>
      </c>
      <c r="C10" s="292">
        <f>'t1'!C10+'t1'!D10</f>
        <v>455</v>
      </c>
      <c r="D10" s="292">
        <f>'t5'!U11+'t5'!V11</f>
        <v>12</v>
      </c>
      <c r="E10" s="293">
        <f>'t6'!U11+'t6'!V11</f>
        <v>15</v>
      </c>
      <c r="F10" s="293">
        <f>'t4'!G43</f>
        <v>4</v>
      </c>
      <c r="G10" s="293">
        <f t="shared" ref="G10:G25" si="0">C10-D10+E10+F10</f>
        <v>462</v>
      </c>
      <c r="H10" s="293">
        <f>'t4'!AE19</f>
        <v>2</v>
      </c>
      <c r="I10" s="86" t="str">
        <f t="shared" ref="I10:I25" si="1">IF(H10&lt;=G10,"OK","ERRORE")</f>
        <v>OK</v>
      </c>
    </row>
    <row r="11" spans="1:13" ht="14.1" customHeight="1" x14ac:dyDescent="0.2">
      <c r="A11" s="129" t="str">
        <f>'t1'!A11</f>
        <v>POSIZIONE ECONOMICA D - FORESTALE</v>
      </c>
      <c r="B11" s="158" t="str">
        <f>'t1'!B11</f>
        <v>047FOR</v>
      </c>
      <c r="C11" s="292">
        <f>'t1'!C11+'t1'!D11</f>
        <v>0</v>
      </c>
      <c r="D11" s="292">
        <f>'t5'!U12+'t5'!V12</f>
        <v>0</v>
      </c>
      <c r="E11" s="293">
        <f>'t6'!U12+'t6'!V12</f>
        <v>0</v>
      </c>
      <c r="F11" s="293">
        <f>'t4'!H43</f>
        <v>0</v>
      </c>
      <c r="G11" s="293">
        <f t="shared" si="0"/>
        <v>0</v>
      </c>
      <c r="H11" s="293">
        <f>'t4'!AE20</f>
        <v>0</v>
      </c>
      <c r="I11" s="86" t="str">
        <f t="shared" si="1"/>
        <v>OK</v>
      </c>
    </row>
    <row r="12" spans="1:13" ht="14.1" customHeight="1" x14ac:dyDescent="0.2">
      <c r="A12" s="129" t="str">
        <f>'t1'!A12</f>
        <v>POSIZIONE ECONOMICA D  ISPETTORE ANTINCENDI DIRETTORE-VVFF</v>
      </c>
      <c r="B12" s="158" t="str">
        <f>'t1'!B12</f>
        <v>047IS3</v>
      </c>
      <c r="C12" s="292">
        <f>'t1'!C12+'t1'!D12</f>
        <v>1</v>
      </c>
      <c r="D12" s="292">
        <f>'t5'!U13+'t5'!V13</f>
        <v>0</v>
      </c>
      <c r="E12" s="293">
        <f>'t6'!U13+'t6'!V13</f>
        <v>0</v>
      </c>
      <c r="F12" s="293">
        <f>'t4'!I43</f>
        <v>0</v>
      </c>
      <c r="G12" s="293">
        <f t="shared" si="0"/>
        <v>1</v>
      </c>
      <c r="H12" s="293">
        <f>'t4'!AE21</f>
        <v>1</v>
      </c>
      <c r="I12" s="86" t="str">
        <f t="shared" si="1"/>
        <v>OK</v>
      </c>
    </row>
    <row r="13" spans="1:13" ht="14.1" customHeight="1" x14ac:dyDescent="0.2">
      <c r="A13" s="129" t="str">
        <f>'t1'!A13</f>
        <v>POSIZIONE ECONOMICA D  ISPETTORE ANTINCENDI  VVFF</v>
      </c>
      <c r="B13" s="158" t="str">
        <f>'t1'!B13</f>
        <v>047IS2</v>
      </c>
      <c r="C13" s="292">
        <f>'t1'!C13+'t1'!D13</f>
        <v>4</v>
      </c>
      <c r="D13" s="292">
        <f>'t5'!U14+'t5'!V14</f>
        <v>0</v>
      </c>
      <c r="E13" s="293">
        <f>'t6'!U14+'t6'!V14</f>
        <v>0</v>
      </c>
      <c r="F13" s="293">
        <f>'t4'!J43</f>
        <v>1</v>
      </c>
      <c r="G13" s="293">
        <f t="shared" si="0"/>
        <v>5</v>
      </c>
      <c r="H13" s="293">
        <f>'t4'!AE22</f>
        <v>0</v>
      </c>
      <c r="I13" s="86" t="str">
        <f t="shared" si="1"/>
        <v>OK</v>
      </c>
    </row>
    <row r="14" spans="1:13" ht="14.1" customHeight="1" x14ac:dyDescent="0.2">
      <c r="A14" s="129" t="str">
        <f>'t1'!A14</f>
        <v>POSIZIONE ECONOMICA C2</v>
      </c>
      <c r="B14" s="158" t="str">
        <f>'t1'!B14</f>
        <v>042000</v>
      </c>
      <c r="C14" s="292">
        <f>'t1'!C14+'t1'!D14</f>
        <v>694</v>
      </c>
      <c r="D14" s="292">
        <f>'t5'!U15+'t5'!V15</f>
        <v>31</v>
      </c>
      <c r="E14" s="293">
        <f>'t6'!U15+'t6'!V15</f>
        <v>86</v>
      </c>
      <c r="F14" s="293">
        <f>'t4'!K43</f>
        <v>22</v>
      </c>
      <c r="G14" s="293">
        <f t="shared" si="0"/>
        <v>771</v>
      </c>
      <c r="H14" s="293">
        <f>'t4'!AE23</f>
        <v>5</v>
      </c>
      <c r="I14" s="86" t="str">
        <f t="shared" si="1"/>
        <v>OK</v>
      </c>
    </row>
    <row r="15" spans="1:13" ht="14.1" customHeight="1" x14ac:dyDescent="0.2">
      <c r="A15" s="129" t="str">
        <f>'t1'!A15</f>
        <v>POSIZIONE ECONOMICA C1</v>
      </c>
      <c r="B15" s="158" t="str">
        <f>'t1'!B15</f>
        <v>040000</v>
      </c>
      <c r="C15" s="292">
        <f>'t1'!C15+'t1'!D15</f>
        <v>27</v>
      </c>
      <c r="D15" s="292">
        <f>'t5'!U16+'t5'!V16</f>
        <v>0</v>
      </c>
      <c r="E15" s="293">
        <f>'t6'!U16+'t6'!V16</f>
        <v>0</v>
      </c>
      <c r="F15" s="293">
        <f>'t4'!L43</f>
        <v>0</v>
      </c>
      <c r="G15" s="293">
        <f t="shared" si="0"/>
        <v>27</v>
      </c>
      <c r="H15" s="293">
        <f>'t4'!AE24</f>
        <v>2</v>
      </c>
      <c r="I15" s="86" t="str">
        <f t="shared" si="1"/>
        <v>OK</v>
      </c>
    </row>
    <row r="16" spans="1:13" ht="14.1" customHeight="1" x14ac:dyDescent="0.2">
      <c r="A16" s="129" t="str">
        <f>'t1'!A16</f>
        <v>ISPETTORE FORESTALE C21F</v>
      </c>
      <c r="B16" s="158" t="str">
        <f>'t1'!B16</f>
        <v>042324</v>
      </c>
      <c r="C16" s="292">
        <f>'t1'!C16+'t1'!D16</f>
        <v>20</v>
      </c>
      <c r="D16" s="292">
        <f>'t5'!U17+'t5'!V17</f>
        <v>1</v>
      </c>
      <c r="E16" s="293">
        <f>'t6'!U17+'t6'!V17</f>
        <v>0</v>
      </c>
      <c r="F16" s="293">
        <f>'t4'!M43</f>
        <v>0</v>
      </c>
      <c r="G16" s="293">
        <f t="shared" si="0"/>
        <v>19</v>
      </c>
      <c r="H16" s="293">
        <f>'t4'!AE25</f>
        <v>0</v>
      </c>
      <c r="I16" s="86" t="str">
        <f t="shared" si="1"/>
        <v>OK</v>
      </c>
    </row>
    <row r="17" spans="1:9" ht="14.1" customHeight="1" x14ac:dyDescent="0.2">
      <c r="A17" s="129" t="str">
        <f>'t1'!A17</f>
        <v>SOVRAINTENDENTE C1F</v>
      </c>
      <c r="B17" s="158" t="str">
        <f>'t1'!B17</f>
        <v>040211</v>
      </c>
      <c r="C17" s="292">
        <f>'t1'!C17+'t1'!D17</f>
        <v>21</v>
      </c>
      <c r="D17" s="292">
        <f>'t5'!U18+'t5'!V18</f>
        <v>1</v>
      </c>
      <c r="E17" s="293">
        <f>'t6'!U18+'t6'!V18</f>
        <v>0</v>
      </c>
      <c r="F17" s="293">
        <f>'t4'!N43</f>
        <v>7</v>
      </c>
      <c r="G17" s="293">
        <f t="shared" si="0"/>
        <v>27</v>
      </c>
      <c r="H17" s="293">
        <f>'t4'!AE26</f>
        <v>0</v>
      </c>
      <c r="I17" s="86" t="str">
        <f t="shared" si="1"/>
        <v>OK</v>
      </c>
    </row>
    <row r="18" spans="1:9" ht="14.1" customHeight="1" x14ac:dyDescent="0.2">
      <c r="A18" s="129" t="str">
        <f>'t1'!A18</f>
        <v>POSIZIONE ECONOMICA C2  CAPO REPARTO  VVFF</v>
      </c>
      <c r="B18" s="158" t="str">
        <f>'t1'!B18</f>
        <v>042CR1</v>
      </c>
      <c r="C18" s="292">
        <f>'t1'!C18+'t1'!D18</f>
        <v>12</v>
      </c>
      <c r="D18" s="292">
        <f>'t5'!U19+'t5'!V19</f>
        <v>1</v>
      </c>
      <c r="E18" s="293">
        <f>'t6'!U19+'t6'!V19</f>
        <v>0</v>
      </c>
      <c r="F18" s="293">
        <f>'t4'!O43</f>
        <v>0</v>
      </c>
      <c r="G18" s="293">
        <f t="shared" si="0"/>
        <v>11</v>
      </c>
      <c r="H18" s="293">
        <f>'t4'!AE27</f>
        <v>0</v>
      </c>
      <c r="I18" s="86" t="str">
        <f t="shared" si="1"/>
        <v>OK</v>
      </c>
    </row>
    <row r="19" spans="1:9" ht="14.1" customHeight="1" x14ac:dyDescent="0.2">
      <c r="A19" s="129" t="str">
        <f>'t1'!A19</f>
        <v>POSIZIONE ECONOMICA C2  COLLAB. TECNICO ANTINCENDI  VVFF</v>
      </c>
      <c r="B19" s="158" t="str">
        <f>'t1'!B19</f>
        <v>042CA0</v>
      </c>
      <c r="C19" s="292">
        <f>'t1'!C19+'t1'!D19</f>
        <v>8</v>
      </c>
      <c r="D19" s="292">
        <f>'t5'!U20+'t5'!V20</f>
        <v>0</v>
      </c>
      <c r="E19" s="293">
        <f>'t6'!U20+'t6'!V20</f>
        <v>0</v>
      </c>
      <c r="F19" s="293">
        <f>'t4'!P43</f>
        <v>0</v>
      </c>
      <c r="G19" s="293">
        <f t="shared" si="0"/>
        <v>8</v>
      </c>
      <c r="H19" s="293">
        <f>'t4'!AE28</f>
        <v>0</v>
      </c>
      <c r="I19" s="86" t="str">
        <f t="shared" si="1"/>
        <v>OK</v>
      </c>
    </row>
    <row r="20" spans="1:9" ht="14.1" customHeight="1" x14ac:dyDescent="0.2">
      <c r="A20" s="129" t="str">
        <f>'t1'!A20</f>
        <v>POSIZIONE ECONOMICA C1  CAPO SQUADRA  VVFF</v>
      </c>
      <c r="B20" s="158" t="str">
        <f>'t1'!B20</f>
        <v>040CS1</v>
      </c>
      <c r="C20" s="292">
        <f>'t1'!C20+'t1'!D20</f>
        <v>33</v>
      </c>
      <c r="D20" s="292">
        <f>'t5'!U21+'t5'!V21</f>
        <v>2</v>
      </c>
      <c r="E20" s="293">
        <f>'t6'!U21+'t6'!V21</f>
        <v>0</v>
      </c>
      <c r="F20" s="293">
        <f>'t4'!Q43</f>
        <v>0</v>
      </c>
      <c r="G20" s="293">
        <f t="shared" si="0"/>
        <v>31</v>
      </c>
      <c r="H20" s="293">
        <f>'t4'!AE29</f>
        <v>0</v>
      </c>
      <c r="I20" s="86" t="str">
        <f t="shared" si="1"/>
        <v>OK</v>
      </c>
    </row>
    <row r="21" spans="1:9" ht="14.1" customHeight="1" x14ac:dyDescent="0.2">
      <c r="A21" s="129" t="str">
        <f>'t1'!A21</f>
        <v>POSIZIONE ECONOMICA B3</v>
      </c>
      <c r="B21" s="158" t="str">
        <f>'t1'!B21</f>
        <v>034000</v>
      </c>
      <c r="C21" s="292">
        <f>'t1'!C21+'t1'!D21</f>
        <v>11</v>
      </c>
      <c r="D21" s="292">
        <f>'t5'!U22+'t5'!V22</f>
        <v>0</v>
      </c>
      <c r="E21" s="293">
        <f>'t6'!U22+'t6'!V22</f>
        <v>1</v>
      </c>
      <c r="F21" s="293">
        <f>'t4'!R43</f>
        <v>2</v>
      </c>
      <c r="G21" s="293">
        <f t="shared" si="0"/>
        <v>14</v>
      </c>
      <c r="H21" s="293">
        <f>'t4'!AE30</f>
        <v>1</v>
      </c>
      <c r="I21" s="86" t="str">
        <f t="shared" si="1"/>
        <v>OK</v>
      </c>
    </row>
    <row r="22" spans="1:9" ht="14.1" customHeight="1" x14ac:dyDescent="0.2">
      <c r="A22" s="129" t="str">
        <f>'t1'!A22</f>
        <v>POSIZIONE ECONOMICA B2S</v>
      </c>
      <c r="B22" s="158" t="str">
        <f>'t1'!B22</f>
        <v>033000</v>
      </c>
      <c r="C22" s="292">
        <f>'t1'!C22+'t1'!D22</f>
        <v>5</v>
      </c>
      <c r="D22" s="292">
        <f>'t5'!U23+'t5'!V23</f>
        <v>0</v>
      </c>
      <c r="E22" s="293">
        <f>'t6'!U23+'t6'!V23</f>
        <v>0</v>
      </c>
      <c r="F22" s="293">
        <f>'t4'!S43</f>
        <v>0</v>
      </c>
      <c r="G22" s="293">
        <f t="shared" si="0"/>
        <v>5</v>
      </c>
      <c r="H22" s="293">
        <f>'t4'!AE31</f>
        <v>0</v>
      </c>
      <c r="I22" s="86" t="str">
        <f t="shared" si="1"/>
        <v>OK</v>
      </c>
    </row>
    <row r="23" spans="1:9" ht="14.1" customHeight="1" x14ac:dyDescent="0.2">
      <c r="A23" s="129" t="str">
        <f>'t1'!A23</f>
        <v>POSIZIONE ECONOMICA B2</v>
      </c>
      <c r="B23" s="158" t="str">
        <f>'t1'!B23</f>
        <v>032000</v>
      </c>
      <c r="C23" s="292">
        <f>'t1'!C23+'t1'!D23</f>
        <v>573</v>
      </c>
      <c r="D23" s="292">
        <f>'t5'!U24+'t5'!V24</f>
        <v>38</v>
      </c>
      <c r="E23" s="293">
        <f>'t6'!U24+'t6'!V24</f>
        <v>3</v>
      </c>
      <c r="F23" s="293">
        <f>'t4'!T43</f>
        <v>1</v>
      </c>
      <c r="G23" s="293">
        <f t="shared" si="0"/>
        <v>539</v>
      </c>
      <c r="H23" s="293">
        <f>'t4'!AE32</f>
        <v>23</v>
      </c>
      <c r="I23" s="86" t="str">
        <f t="shared" si="1"/>
        <v>OK</v>
      </c>
    </row>
    <row r="24" spans="1:9" ht="14.1" customHeight="1" x14ac:dyDescent="0.2">
      <c r="A24" s="129" t="str">
        <f>'t1'!A24</f>
        <v>POSIZIONE ECONOMICA B1</v>
      </c>
      <c r="B24" s="158" t="str">
        <f>'t1'!B24</f>
        <v>030000</v>
      </c>
      <c r="C24" s="292">
        <f>'t1'!C24+'t1'!D24</f>
        <v>28</v>
      </c>
      <c r="D24" s="292">
        <f>'t5'!U25+'t5'!V25</f>
        <v>5</v>
      </c>
      <c r="E24" s="293">
        <f>'t6'!U25+'t6'!V25</f>
        <v>0</v>
      </c>
      <c r="F24" s="293">
        <f>'t4'!U43</f>
        <v>0</v>
      </c>
      <c r="G24" s="293">
        <f t="shared" si="0"/>
        <v>23</v>
      </c>
      <c r="H24" s="293">
        <f>'t4'!AE33</f>
        <v>0</v>
      </c>
      <c r="I24" s="86" t="str">
        <f t="shared" si="1"/>
        <v>OK</v>
      </c>
    </row>
    <row r="25" spans="1:9" ht="14.1" customHeight="1" x14ac:dyDescent="0.2">
      <c r="A25" s="129" t="str">
        <f>'t1'!A25</f>
        <v>POS. EC. B3-GUARDIA  FORESTALE 5 A.</v>
      </c>
      <c r="B25" s="158" t="str">
        <f>'t1'!B25</f>
        <v>034561</v>
      </c>
      <c r="C25" s="292">
        <f>'t1'!C25+'t1'!D25</f>
        <v>47</v>
      </c>
      <c r="D25" s="292">
        <f>'t5'!U26+'t5'!V26</f>
        <v>5</v>
      </c>
      <c r="E25" s="293">
        <f>'t6'!U26+'t6'!V26</f>
        <v>0</v>
      </c>
      <c r="F25" s="293">
        <f>'t4'!V43</f>
        <v>0</v>
      </c>
      <c r="G25" s="293">
        <f t="shared" si="0"/>
        <v>42</v>
      </c>
      <c r="H25" s="293">
        <f>'t4'!AE34</f>
        <v>1</v>
      </c>
      <c r="I25" s="86" t="str">
        <f t="shared" si="1"/>
        <v>OK</v>
      </c>
    </row>
    <row r="26" spans="1:9" ht="14.1" customHeight="1" x14ac:dyDescent="0.2">
      <c r="A26" s="129" t="str">
        <f>'t1'!A26</f>
        <v>POS. EC. B2-GUARDIA  FORESTALE</v>
      </c>
      <c r="B26" s="158" t="str">
        <f>'t1'!B26</f>
        <v>032561</v>
      </c>
      <c r="C26" s="292">
        <f>'t1'!C26+'t1'!D26</f>
        <v>11</v>
      </c>
      <c r="D26" s="292">
        <f>'t5'!U27+'t5'!V27</f>
        <v>0</v>
      </c>
      <c r="E26" s="293">
        <f>'t6'!U27+'t6'!V27</f>
        <v>17</v>
      </c>
      <c r="F26" s="293">
        <f>'t4'!W43</f>
        <v>2</v>
      </c>
      <c r="G26" s="293">
        <f t="shared" ref="G26:G33" si="2">C26-D26+E26+F26</f>
        <v>30</v>
      </c>
      <c r="H26" s="293">
        <f>'t4'!AE35</f>
        <v>6</v>
      </c>
      <c r="I26" s="86" t="str">
        <f t="shared" ref="I26:I33" si="3">IF(H26&lt;=G26,"OK","ERRORE")</f>
        <v>OK</v>
      </c>
    </row>
    <row r="27" spans="1:9" ht="14.1" customHeight="1" x14ac:dyDescent="0.2">
      <c r="A27" s="129" t="str">
        <f>'t1'!A27</f>
        <v>POSIZIONE ECONOMICA B1 - FORESTALE</v>
      </c>
      <c r="B27" s="158" t="str">
        <f>'t1'!B27</f>
        <v>030FOR</v>
      </c>
      <c r="C27" s="292">
        <f>'t1'!C27+'t1'!D27</f>
        <v>0</v>
      </c>
      <c r="D27" s="292">
        <f>'t5'!U28+'t5'!V28</f>
        <v>0</v>
      </c>
      <c r="E27" s="293">
        <f>'t6'!U28+'t6'!V28</f>
        <v>0</v>
      </c>
      <c r="F27" s="293">
        <f>'t4'!X43</f>
        <v>0</v>
      </c>
      <c r="G27" s="293">
        <f t="shared" si="2"/>
        <v>0</v>
      </c>
      <c r="H27" s="293">
        <f>'t4'!AE36</f>
        <v>0</v>
      </c>
      <c r="I27" s="86" t="str">
        <f t="shared" si="3"/>
        <v>OK</v>
      </c>
    </row>
    <row r="28" spans="1:9" ht="14.1" customHeight="1" x14ac:dyDescent="0.2">
      <c r="A28" s="129" t="str">
        <f>'t1'!A28</f>
        <v>POSIZIONE ECONOMICA B3  VIGILE DEL FUOCO &gt; 5 ANNI</v>
      </c>
      <c r="B28" s="158" t="str">
        <f>'t1'!B28</f>
        <v>034VF5</v>
      </c>
      <c r="C28" s="292">
        <f>'t1'!C28+'t1'!D28</f>
        <v>92</v>
      </c>
      <c r="D28" s="292">
        <f>'t5'!U29+'t5'!V29</f>
        <v>0</v>
      </c>
      <c r="E28" s="293">
        <f>'t6'!U29+'t6'!V29</f>
        <v>0</v>
      </c>
      <c r="F28" s="293">
        <f>'t4'!Y43</f>
        <v>7</v>
      </c>
      <c r="G28" s="293">
        <f t="shared" si="2"/>
        <v>99</v>
      </c>
      <c r="H28" s="293">
        <f>'t4'!AE37</f>
        <v>0</v>
      </c>
      <c r="I28" s="86" t="str">
        <f t="shared" si="3"/>
        <v>OK</v>
      </c>
    </row>
    <row r="29" spans="1:9" ht="14.1" customHeight="1" x14ac:dyDescent="0.2">
      <c r="A29" s="129" t="str">
        <f>'t1'!A29</f>
        <v>POSIZIONE ECONOMICA B2  VIGILE DEL FUOCO</v>
      </c>
      <c r="B29" s="158" t="str">
        <f>'t1'!B29</f>
        <v>032VF1</v>
      </c>
      <c r="C29" s="292">
        <f>'t1'!C29+'t1'!D29</f>
        <v>25</v>
      </c>
      <c r="D29" s="292">
        <f>'t5'!U30+'t5'!V30</f>
        <v>0</v>
      </c>
      <c r="E29" s="293">
        <f>'t6'!U30+'t6'!V30</f>
        <v>1</v>
      </c>
      <c r="F29" s="293">
        <f>'t4'!Z43</f>
        <v>0</v>
      </c>
      <c r="G29" s="293">
        <f t="shared" si="2"/>
        <v>26</v>
      </c>
      <c r="H29" s="293">
        <f>'t4'!AE38</f>
        <v>7</v>
      </c>
      <c r="I29" s="86" t="str">
        <f t="shared" si="3"/>
        <v>OK</v>
      </c>
    </row>
    <row r="30" spans="1:9" ht="14.1" customHeight="1" x14ac:dyDescent="0.2">
      <c r="A30" s="129" t="str">
        <f>'t1'!A30</f>
        <v>POSIZIONE ECONOMICA A</v>
      </c>
      <c r="B30" s="158" t="str">
        <f>'t1'!B30</f>
        <v>022000</v>
      </c>
      <c r="C30" s="292">
        <f>'t1'!C30+'t1'!D30</f>
        <v>198</v>
      </c>
      <c r="D30" s="292">
        <f>'t5'!U31+'t5'!V31</f>
        <v>18</v>
      </c>
      <c r="E30" s="293">
        <f>'t6'!U31+'t6'!V31</f>
        <v>40</v>
      </c>
      <c r="F30" s="293">
        <f>'t4'!AA43</f>
        <v>0</v>
      </c>
      <c r="G30" s="293">
        <f t="shared" si="2"/>
        <v>220</v>
      </c>
      <c r="H30" s="293">
        <f>'t4'!AE39</f>
        <v>0</v>
      </c>
      <c r="I30" s="86" t="str">
        <f t="shared" si="3"/>
        <v>OK</v>
      </c>
    </row>
    <row r="31" spans="1:9" ht="14.1" customHeight="1" x14ac:dyDescent="0.2">
      <c r="A31" s="129" t="str">
        <f>'t1'!A31</f>
        <v>CONTRATTISTI</v>
      </c>
      <c r="B31" s="158" t="str">
        <f>'t1'!B31</f>
        <v>000061</v>
      </c>
      <c r="C31" s="292">
        <f>'t1'!C31+'t1'!D31</f>
        <v>133</v>
      </c>
      <c r="D31" s="292">
        <f>'t5'!U32+'t5'!V32</f>
        <v>14</v>
      </c>
      <c r="E31" s="293">
        <f>'t6'!U32+'t6'!V32</f>
        <v>9</v>
      </c>
      <c r="F31" s="293">
        <f>'t4'!AB43</f>
        <v>0</v>
      </c>
      <c r="G31" s="293">
        <f t="shared" si="2"/>
        <v>128</v>
      </c>
      <c r="H31" s="293">
        <f>'t4'!AE40</f>
        <v>0</v>
      </c>
      <c r="I31" s="86" t="str">
        <f t="shared" si="3"/>
        <v>OK</v>
      </c>
    </row>
    <row r="32" spans="1:9" ht="14.1" customHeight="1" x14ac:dyDescent="0.2">
      <c r="A32" s="129" t="str">
        <f>'t1'!A32</f>
        <v>SEGRETARIO GENERALE CCIAA</v>
      </c>
      <c r="B32" s="158" t="str">
        <f>'t1'!B32</f>
        <v>0D0104</v>
      </c>
      <c r="C32" s="292">
        <f>'t1'!C32+'t1'!D32</f>
        <v>0</v>
      </c>
      <c r="D32" s="292">
        <f>'t5'!U33+'t5'!V33</f>
        <v>0</v>
      </c>
      <c r="E32" s="293">
        <f>'t6'!U33+'t6'!V33</f>
        <v>0</v>
      </c>
      <c r="F32" s="293">
        <f>'t4'!AC43</f>
        <v>0</v>
      </c>
      <c r="G32" s="293">
        <f t="shared" si="2"/>
        <v>0</v>
      </c>
      <c r="H32" s="293">
        <f>'t4'!AE41</f>
        <v>0</v>
      </c>
      <c r="I32" s="86" t="str">
        <f t="shared" si="3"/>
        <v>OK</v>
      </c>
    </row>
    <row r="33" spans="1:9" ht="14.1" customHeight="1" x14ac:dyDescent="0.2">
      <c r="A33" s="129" t="str">
        <f>'t1'!A33</f>
        <v>COLLABORATORE A TEMPO DETERMINATO</v>
      </c>
      <c r="B33" s="158" t="str">
        <f>'t1'!B33</f>
        <v>000096</v>
      </c>
      <c r="C33" s="292">
        <f>'t1'!C33+'t1'!D33</f>
        <v>10</v>
      </c>
      <c r="D33" s="292">
        <f>'t5'!U34+'t5'!V34</f>
        <v>1</v>
      </c>
      <c r="E33" s="293">
        <f>'t6'!U34+'t6'!V34</f>
        <v>2</v>
      </c>
      <c r="F33" s="293">
        <f>'t4'!AD43</f>
        <v>0</v>
      </c>
      <c r="G33" s="293">
        <f t="shared" si="2"/>
        <v>11</v>
      </c>
      <c r="H33" s="293">
        <f>'t4'!AE42</f>
        <v>0</v>
      </c>
      <c r="I33" s="86" t="str">
        <f t="shared" si="3"/>
        <v>OK</v>
      </c>
    </row>
    <row r="34" spans="1:9" s="299" customFormat="1" ht="15.75" customHeight="1" x14ac:dyDescent="0.2">
      <c r="A34" s="318" t="str">
        <f>'t1'!A34</f>
        <v>TOTALE</v>
      </c>
      <c r="B34" s="178"/>
      <c r="C34" s="317">
        <f t="shared" ref="C34:H34" si="4">SUM(C6:C33)</f>
        <v>2518</v>
      </c>
      <c r="D34" s="317">
        <f t="shared" si="4"/>
        <v>138</v>
      </c>
      <c r="E34" s="317">
        <f t="shared" si="4"/>
        <v>183</v>
      </c>
      <c r="F34" s="317">
        <f t="shared" si="4"/>
        <v>48</v>
      </c>
      <c r="G34" s="317">
        <f t="shared" si="4"/>
        <v>2611</v>
      </c>
      <c r="H34" s="317">
        <f t="shared" si="4"/>
        <v>48</v>
      </c>
      <c r="I34" s="150" t="str">
        <f>IF(H34&lt;=G34,"OK","ERRORE")</f>
        <v>OK</v>
      </c>
    </row>
  </sheetData>
  <sheetProtection password="DD41" sheet="1" formatColumns="0" selectLockedCells="1" selectUnlockedCells="1"/>
  <mergeCells count="2">
    <mergeCell ref="D2:I2"/>
    <mergeCell ref="A1:G1"/>
  </mergeCells>
  <phoneticPr fontId="30" type="noConversion"/>
  <printOptions horizontalCentered="1" verticalCentered="1"/>
  <pageMargins left="0" right="0" top="0.17" bottom="0.17" header="0.19" footer="0.2"/>
  <pageSetup paperSize="9" scale="74" orientation="landscape" horizontalDpi="300" verticalDpi="4294967292"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5"/>
  <dimension ref="A1:E13"/>
  <sheetViews>
    <sheetView showGridLines="0" workbookViewId="0">
      <selection activeCell="Y1" sqref="Y1"/>
    </sheetView>
  </sheetViews>
  <sheetFormatPr defaultColWidth="9.33203125" defaultRowHeight="11.25" x14ac:dyDescent="0.2"/>
  <cols>
    <col min="1" max="1" width="3" style="3" customWidth="1"/>
    <col min="2" max="2" width="57.6640625" style="3" customWidth="1"/>
    <col min="3" max="5" width="23.6640625" style="2" customWidth="1"/>
    <col min="6" max="16384" width="9.33203125" style="3"/>
  </cols>
  <sheetData>
    <row r="1" spans="1:5" ht="43.5" customHeight="1" x14ac:dyDescent="0.2">
      <c r="A1" s="1155" t="str">
        <f>'t1'!A1</f>
        <v>REGIONE VALLE D'AOSTA - anno 2024</v>
      </c>
      <c r="B1" s="1155"/>
      <c r="C1" s="1155"/>
      <c r="D1" s="1155"/>
      <c r="E1" s="1155"/>
    </row>
    <row r="2" spans="1:5" ht="21" customHeight="1" x14ac:dyDescent="0.25">
      <c r="A2" s="168" t="s">
        <v>896</v>
      </c>
      <c r="B2" s="168"/>
    </row>
    <row r="3" spans="1:5" ht="21" customHeight="1" thickBot="1" x14ac:dyDescent="0.3">
      <c r="A3" s="168"/>
      <c r="B3" s="168"/>
    </row>
    <row r="4" spans="1:5" ht="70.349999999999994" customHeight="1" thickBot="1" x14ac:dyDescent="0.25">
      <c r="A4" s="891" t="s">
        <v>897</v>
      </c>
      <c r="B4" s="1156"/>
      <c r="C4" s="1157" t="s">
        <v>977</v>
      </c>
      <c r="D4" s="1158"/>
      <c r="E4" s="1159"/>
    </row>
    <row r="5" spans="1:5" ht="49.5" customHeight="1" thickBot="1" x14ac:dyDescent="0.25">
      <c r="A5" s="863" t="s">
        <v>684</v>
      </c>
      <c r="B5" s="864"/>
      <c r="C5" s="865" t="s">
        <v>436</v>
      </c>
      <c r="D5" s="865" t="s">
        <v>898</v>
      </c>
      <c r="E5" s="865" t="s">
        <v>934</v>
      </c>
    </row>
    <row r="6" spans="1:5" s="87" customFormat="1" ht="20.100000000000001" customHeight="1" x14ac:dyDescent="0.15">
      <c r="A6" s="1160" t="s">
        <v>899</v>
      </c>
      <c r="B6" s="1161" t="s">
        <v>900</v>
      </c>
      <c r="C6" s="1162"/>
      <c r="D6" s="1163"/>
      <c r="E6" s="1164"/>
    </row>
    <row r="7" spans="1:5" s="87" customFormat="1" ht="20.100000000000001" customHeight="1" x14ac:dyDescent="0.15">
      <c r="A7" s="1165" t="s">
        <v>901</v>
      </c>
      <c r="B7" s="1166" t="s">
        <v>902</v>
      </c>
      <c r="C7" s="1167"/>
      <c r="D7" s="1168"/>
      <c r="E7" s="1169"/>
    </row>
    <row r="8" spans="1:5" s="866" customFormat="1" ht="20.100000000000001" customHeight="1" x14ac:dyDescent="0.15">
      <c r="A8" s="1170" t="s">
        <v>903</v>
      </c>
      <c r="B8" s="1171" t="s">
        <v>904</v>
      </c>
      <c r="C8" s="1172"/>
      <c r="D8" s="1173"/>
      <c r="E8" s="1169"/>
    </row>
    <row r="9" spans="1:5" s="87" customFormat="1" ht="20.100000000000001" customHeight="1" x14ac:dyDescent="0.15">
      <c r="A9" s="1165" t="s">
        <v>905</v>
      </c>
      <c r="B9" s="1174" t="s">
        <v>906</v>
      </c>
      <c r="C9" s="1167"/>
      <c r="D9" s="1168"/>
      <c r="E9" s="1169"/>
    </row>
    <row r="10" spans="1:5" s="87" customFormat="1" ht="20.100000000000001" customHeight="1" thickBot="1" x14ac:dyDescent="0.2">
      <c r="A10" s="1170" t="s">
        <v>907</v>
      </c>
      <c r="B10" s="1171" t="s">
        <v>935</v>
      </c>
      <c r="C10" s="1172"/>
      <c r="D10" s="1173"/>
      <c r="E10" s="1175"/>
    </row>
    <row r="11" spans="1:5" s="87" customFormat="1" ht="35.25" customHeight="1" thickBot="1" x14ac:dyDescent="0.2">
      <c r="A11" s="1176" t="s">
        <v>907</v>
      </c>
      <c r="B11" s="1177" t="s">
        <v>183</v>
      </c>
      <c r="C11" s="1178"/>
      <c r="D11" s="1179"/>
    </row>
    <row r="13" spans="1:5" s="824" customFormat="1" ht="12" x14ac:dyDescent="0.2">
      <c r="A13" s="1180" t="s">
        <v>978</v>
      </c>
      <c r="B13" s="923"/>
      <c r="D13" s="1064"/>
    </row>
  </sheetData>
  <sheetProtection algorithmName="SHA-512" hashValue="4Iy2LsFun7ZYMcuAim0oeHbyKZQ3fidCb7HkhvygVXp38jmkCqLcf8pPsOUlWQnDux7a6HYlSaVJYiUUWluM7w==" saltValue="BH2Yq9BL48AnGWNGE40n9Q==" spinCount="100000" sheet="1" formatColumns="0" selectLockedCells="1"/>
  <printOptions horizontalCentered="1"/>
  <pageMargins left="0.39370078740157483" right="0.39370078740157483" top="0.78740157480314965" bottom="0.39370078740157483" header="0.19685039370078741" footer="0.19685039370078741"/>
  <pageSetup paperSize="9" orientation="landscape" horizontalDpi="300" verticalDpi="4294967292"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2">
    <tabColor indexed="10"/>
    <pageSetUpPr fitToPage="1"/>
  </sheetPr>
  <dimension ref="A1:G30"/>
  <sheetViews>
    <sheetView showGridLines="0" workbookViewId="0">
      <pane ySplit="4" topLeftCell="A5" activePane="bottomLeft" state="frozen"/>
      <selection activeCell="A2" sqref="A2"/>
      <selection pane="bottomLeft" activeCell="C4" sqref="C4"/>
    </sheetView>
  </sheetViews>
  <sheetFormatPr defaultColWidth="9.33203125" defaultRowHeight="11.25" x14ac:dyDescent="0.2"/>
  <cols>
    <col min="1" max="1" width="29.6640625" style="3" customWidth="1"/>
    <col min="2" max="4" width="29.6640625" style="2" customWidth="1"/>
    <col min="5" max="5" width="7.1640625" style="3" hidden="1" customWidth="1"/>
    <col min="6" max="16384" width="9.33203125" style="3"/>
  </cols>
  <sheetData>
    <row r="1" spans="1:4" ht="30" customHeight="1" x14ac:dyDescent="0.2">
      <c r="A1" s="1486" t="str">
        <f>'t1'!A1</f>
        <v>REGIONE VALLE D'AOSTA - anno 2024</v>
      </c>
      <c r="B1" s="1486"/>
      <c r="C1" s="1486"/>
      <c r="D1" s="1486"/>
    </row>
    <row r="2" spans="1:4" ht="56.25" customHeight="1" x14ac:dyDescent="0.2">
      <c r="A2" s="1580" t="s">
        <v>442</v>
      </c>
      <c r="B2" s="1580"/>
      <c r="C2" s="1580"/>
      <c r="D2" s="1580"/>
    </row>
    <row r="3" spans="1:4" ht="51" customHeight="1" x14ac:dyDescent="0.25">
      <c r="A3" s="1434" t="str">
        <f>"Controllo della compilazione della SI_1A  e controllo di coerenza tra il personale appartenente alla polizia locale dichiarato nella SI_1A ed i presenti al 31.12."&amp;'t1'!L1&amp;" rilevati in Tabella 1 (Squadratura 7)"</f>
        <v>Controllo della compilazione della SI_1A  e controllo di coerenza tra il personale appartenente alla polizia locale dichiarato nella SI_1A ed i presenti al 31.12.2024 rilevati in Tabella 1 (Squadratura 7)</v>
      </c>
      <c r="B3" s="1434"/>
      <c r="C3" s="1434"/>
      <c r="D3" s="1434"/>
    </row>
    <row r="4" spans="1:4" ht="11.25" customHeight="1" thickBot="1" x14ac:dyDescent="0.25">
      <c r="A4" s="275"/>
      <c r="B4" s="3"/>
      <c r="C4" s="3"/>
      <c r="D4" s="3"/>
    </row>
    <row r="5" spans="1:4" ht="18" customHeight="1" x14ac:dyDescent="0.2">
      <c r="A5" s="1588" t="s">
        <v>433</v>
      </c>
      <c r="B5" s="1589"/>
      <c r="C5" s="1590" t="str">
        <f>IF('SI_1A(COMUNI-PROVINCE-CITTA_ME)'!I251=0,"A T T E N Z I O N E :  TABELLA NON COMPILATA","")</f>
        <v>A T T E N Z I O N E :  TABELLA NON COMPILATA</v>
      </c>
      <c r="D5" s="1591"/>
    </row>
    <row r="6" spans="1:4" s="167" customFormat="1" ht="22.5" x14ac:dyDescent="0.15">
      <c r="A6" s="1586" t="s">
        <v>435</v>
      </c>
      <c r="B6" s="155" t="str">
        <f>"Presenti 31.12."&amp;'t1'!$L$1&amp;" (Tab 1)"</f>
        <v>Presenti 31.12.2024 (Tab 1)</v>
      </c>
      <c r="C6" s="155" t="s">
        <v>434</v>
      </c>
      <c r="D6" s="543" t="s">
        <v>183</v>
      </c>
    </row>
    <row r="7" spans="1:4" s="165" customFormat="1" x14ac:dyDescent="0.2">
      <c r="A7" s="1587"/>
      <c r="B7" s="161" t="s">
        <v>193</v>
      </c>
      <c r="C7" s="162" t="s">
        <v>194</v>
      </c>
      <c r="D7" s="544" t="s">
        <v>432</v>
      </c>
    </row>
    <row r="8" spans="1:4" ht="14.1" customHeight="1" x14ac:dyDescent="0.2">
      <c r="A8" s="129" t="s">
        <v>436</v>
      </c>
      <c r="B8" s="292">
        <f>SUM('t1'!$K$9:$L$9)</f>
        <v>112</v>
      </c>
      <c r="C8" s="293">
        <f>'SI_1A(COMUNI-PROVINCE-CITTA_ME)'!F176+'SI_1A(COMUNI-PROVINCE-CITTA_ME)'!F182</f>
        <v>0</v>
      </c>
      <c r="D8" s="545" t="str">
        <f>IF(C8&gt;B8,"ERRORE","OK")</f>
        <v>OK</v>
      </c>
    </row>
    <row r="9" spans="1:4" ht="14.1" customHeight="1" x14ac:dyDescent="0.2">
      <c r="A9" s="129" t="s">
        <v>280</v>
      </c>
      <c r="B9" s="292">
        <f>SUM('t1'!$K$10:$L$10)</f>
        <v>460</v>
      </c>
      <c r="C9" s="293">
        <f>'SI_1A(COMUNI-PROVINCE-CITTA_ME)'!F177+'SI_1A(COMUNI-PROVINCE-CITTA_ME)'!F183+'SI_1A(COMUNI-PROVINCE-CITTA_ME)'!F188</f>
        <v>0</v>
      </c>
      <c r="D9" s="545" t="str">
        <f>IF(C9&gt;B9,"ERRORE","OK")</f>
        <v>OK</v>
      </c>
    </row>
    <row r="10" spans="1:4" ht="14.1" customHeight="1" thickBot="1" x14ac:dyDescent="0.25">
      <c r="A10" s="546" t="s">
        <v>282</v>
      </c>
      <c r="B10" s="547">
        <f>SUM('t1'!$K$14:$L$15)</f>
        <v>791</v>
      </c>
      <c r="C10" s="548">
        <f>'SI_1A(COMUNI-PROVINCE-CITTA_ME)'!F178+'SI_1A(COMUNI-PROVINCE-CITTA_ME)'!F184+'SI_1A(COMUNI-PROVINCE-CITTA_ME)'!F189</f>
        <v>0</v>
      </c>
      <c r="D10" s="549" t="str">
        <f>IF(C10&gt;B10,"ERRORE","OK")</f>
        <v>OK</v>
      </c>
    </row>
    <row r="11" spans="1:4" ht="12" thickBot="1" x14ac:dyDescent="0.25"/>
    <row r="12" spans="1:4" ht="18" customHeight="1" x14ac:dyDescent="0.2">
      <c r="A12" s="1588" t="s">
        <v>437</v>
      </c>
      <c r="B12" s="1589"/>
      <c r="C12" s="1590" t="str">
        <f>IF('SI_1A(UNIONE_COMUNI)'!I251=0,"A T T E N Z I O N E :  TABELLA NON COMPILATA","")</f>
        <v>A T T E N Z I O N E :  TABELLA NON COMPILATA</v>
      </c>
      <c r="D12" s="1591"/>
    </row>
    <row r="13" spans="1:4" s="167" customFormat="1" ht="22.5" x14ac:dyDescent="0.15">
      <c r="A13" s="1586" t="s">
        <v>435</v>
      </c>
      <c r="B13" s="155" t="str">
        <f>"Presenti 31.12."&amp;'t1'!$L$1&amp;" (Tab 1)"</f>
        <v>Presenti 31.12.2024 (Tab 1)</v>
      </c>
      <c r="C13" s="155" t="s">
        <v>434</v>
      </c>
      <c r="D13" s="543" t="s">
        <v>183</v>
      </c>
    </row>
    <row r="14" spans="1:4" s="165" customFormat="1" x14ac:dyDescent="0.2">
      <c r="A14" s="1587"/>
      <c r="B14" s="161" t="s">
        <v>193</v>
      </c>
      <c r="C14" s="162" t="s">
        <v>194</v>
      </c>
      <c r="D14" s="544" t="s">
        <v>432</v>
      </c>
    </row>
    <row r="15" spans="1:4" ht="14.1" customHeight="1" x14ac:dyDescent="0.2">
      <c r="A15" s="129" t="s">
        <v>436</v>
      </c>
      <c r="B15" s="292">
        <f>SUM('t1'!$K$9:$L$9)</f>
        <v>112</v>
      </c>
      <c r="C15" s="293">
        <f>'SI_1A(UNIONE_COMUNI)'!F176+'SI_1A(UNIONE_COMUNI)'!F182</f>
        <v>0</v>
      </c>
      <c r="D15" s="545" t="str">
        <f>IF(C15&gt;B15,"ERRORE","OK")</f>
        <v>OK</v>
      </c>
    </row>
    <row r="16" spans="1:4" ht="14.1" customHeight="1" x14ac:dyDescent="0.2">
      <c r="A16" s="129" t="s">
        <v>280</v>
      </c>
      <c r="B16" s="292">
        <f>SUM('t1'!$K$10:$L$10)</f>
        <v>460</v>
      </c>
      <c r="C16" s="293">
        <f>'SI_1A(UNIONE_COMUNI)'!F177+'SI_1A(UNIONE_COMUNI)'!F183+'SI_1A(UNIONE_COMUNI)'!F188</f>
        <v>0</v>
      </c>
      <c r="D16" s="545" t="str">
        <f>IF(C16&gt;B16,"ERRORE","OK")</f>
        <v>OK</v>
      </c>
    </row>
    <row r="17" spans="1:7" ht="14.1" customHeight="1" thickBot="1" x14ac:dyDescent="0.25">
      <c r="A17" s="546" t="s">
        <v>282</v>
      </c>
      <c r="B17" s="547">
        <f>SUM('t1'!$K$14:$L$15)</f>
        <v>791</v>
      </c>
      <c r="C17" s="548">
        <f>'SI_1A(UNIONE_COMUNI)'!F178+'SI_1A(UNIONE_COMUNI)'!F184+'SI_1A(UNIONE_COMUNI)'!F189</f>
        <v>0</v>
      </c>
      <c r="D17" s="549" t="str">
        <f>IF(C17&gt;B17,"ERRORE","OK")</f>
        <v>OK</v>
      </c>
    </row>
    <row r="18" spans="1:7" ht="12" thickBot="1" x14ac:dyDescent="0.25"/>
    <row r="19" spans="1:7" ht="18" customHeight="1" x14ac:dyDescent="0.2">
      <c r="A19" s="1588" t="s">
        <v>438</v>
      </c>
      <c r="B19" s="1589"/>
      <c r="C19" s="1590" t="str">
        <f>IF('SI_1A(COMUNITA_MONTANE)'!I251=0,"A T T E N Z I O N E :  TABELLA NON COMPILATA","")</f>
        <v>A T T E N Z I O N E :  TABELLA NON COMPILATA</v>
      </c>
      <c r="D19" s="1591"/>
    </row>
    <row r="20" spans="1:7" s="167" customFormat="1" ht="22.5" x14ac:dyDescent="0.15">
      <c r="A20" s="1586" t="s">
        <v>435</v>
      </c>
      <c r="B20" s="155" t="str">
        <f>"Presenti 31.12."&amp;'t1'!$L$1&amp;" (Tab 1)"</f>
        <v>Presenti 31.12.2024 (Tab 1)</v>
      </c>
      <c r="C20" s="155" t="s">
        <v>434</v>
      </c>
      <c r="D20" s="543" t="s">
        <v>183</v>
      </c>
    </row>
    <row r="21" spans="1:7" s="165" customFormat="1" x14ac:dyDescent="0.2">
      <c r="A21" s="1587"/>
      <c r="B21" s="161" t="s">
        <v>193</v>
      </c>
      <c r="C21" s="162" t="s">
        <v>194</v>
      </c>
      <c r="D21" s="544" t="s">
        <v>432</v>
      </c>
    </row>
    <row r="22" spans="1:7" ht="14.1" customHeight="1" x14ac:dyDescent="0.2">
      <c r="A22" s="129" t="s">
        <v>436</v>
      </c>
      <c r="B22" s="292">
        <f>SUM('t1'!$K$9:$L$9)</f>
        <v>112</v>
      </c>
      <c r="C22" s="293">
        <f>'SI_1A(COMUNITA_MONTANE)'!F176+'SI_1A(COMUNITA_MONTANE)'!F182</f>
        <v>0</v>
      </c>
      <c r="D22" s="545" t="str">
        <f>IF(C22&gt;B22,"ERRORE","OK")</f>
        <v>OK</v>
      </c>
    </row>
    <row r="23" spans="1:7" ht="14.1" customHeight="1" x14ac:dyDescent="0.2">
      <c r="A23" s="129" t="s">
        <v>280</v>
      </c>
      <c r="B23" s="292">
        <f>SUM('t1'!$K$10:$L$10)</f>
        <v>460</v>
      </c>
      <c r="C23" s="293">
        <f>'SI_1A(COMUNITA_MONTANE)'!F177+'SI_1A(COMUNITA_MONTANE)'!F183+'SI_1A(COMUNITA_MONTANE)'!F188</f>
        <v>0</v>
      </c>
      <c r="D23" s="545" t="str">
        <f>IF(C23&gt;B23,"ERRORE","OK")</f>
        <v>OK</v>
      </c>
    </row>
    <row r="24" spans="1:7" ht="14.1" customHeight="1" thickBot="1" x14ac:dyDescent="0.25">
      <c r="A24" s="546" t="s">
        <v>282</v>
      </c>
      <c r="B24" s="547">
        <f>SUM('t1'!$K$14:$L$15)</f>
        <v>791</v>
      </c>
      <c r="C24" s="548">
        <f>'SI_1A(COMUNITA_MONTANE)'!F178+'SI_1A(COMUNITA_MONTANE)'!F184+'SI_1A(COMUNITA_MONTANE)'!F189</f>
        <v>0</v>
      </c>
      <c r="D24" s="549" t="str">
        <f>IF(C24&gt;B24,"ERRORE","OK")</f>
        <v>OK</v>
      </c>
      <c r="E24" s="3">
        <f>COUNTIF(D8:D10,"ERRORE")+COUNTIF(D15:D17,"ERRORE")+COUNTIF(D22:D24,"ERRORE")</f>
        <v>0</v>
      </c>
    </row>
    <row r="25" spans="1:7" ht="12" thickBot="1" x14ac:dyDescent="0.25"/>
    <row r="26" spans="1:7" ht="31.35" customHeight="1" x14ac:dyDescent="0.25">
      <c r="A26" s="1583" t="s">
        <v>1061</v>
      </c>
      <c r="B26" s="1584"/>
      <c r="C26" s="1584"/>
      <c r="D26" s="1585"/>
    </row>
    <row r="27" spans="1:7" ht="12" thickBot="1" x14ac:dyDescent="0.25">
      <c r="A27" s="1330"/>
      <c r="D27" s="1331"/>
    </row>
    <row r="28" spans="1:7" ht="15.75" thickBot="1" x14ac:dyDescent="0.25">
      <c r="A28" s="1336" t="s">
        <v>1035</v>
      </c>
      <c r="B28" s="1336" t="s">
        <v>1036</v>
      </c>
      <c r="C28" s="1581" t="str">
        <f>IF(('Squadratura 7'!A29='Squadratura 7'!B29)," ",(IF(AND('Squadratura 7'!A29=0,'Squadratura 7'!B29&gt;0),"Rispondere alla domanda 67 della SI_1A ",(IF(AND('Squadratura 7'!A29&gt;0,'Squadratura 7'!B29=0),"Inserire i giorni di formazione"," ")))))</f>
        <v xml:space="preserve"> </v>
      </c>
      <c r="D28" s="1582"/>
      <c r="E28" s="1329"/>
      <c r="F28" s="1329"/>
      <c r="G28" s="1329"/>
    </row>
    <row r="29" spans="1:7" ht="15.75" thickBot="1" x14ac:dyDescent="0.25">
      <c r="A29" s="1334">
        <f>'SI_1A(COMUNI-PROVINCE-CITTA_ME)'!F148+'SI_1A(UNIONE_COMUNI)'!F148+'SI_1A(COMUNITA_MONTANE)'!F148</f>
        <v>0</v>
      </c>
      <c r="B29" s="1335">
        <f>'t11'!AU36+'t11'!AV36</f>
        <v>0</v>
      </c>
      <c r="C29" s="1332"/>
      <c r="D29" s="1333"/>
      <c r="E29" s="3">
        <f>IF('Squadratura 7'!A29='Squadratura 7'!B29,0,IF(AND('Squadratura 7'!A29&gt;0,'Squadratura 7'!B29&gt;0),0,1))</f>
        <v>0</v>
      </c>
    </row>
    <row r="30" spans="1:7" x14ac:dyDescent="0.2">
      <c r="E30" s="3">
        <f>SUM(E29+E24)</f>
        <v>0</v>
      </c>
    </row>
  </sheetData>
  <sheetProtection algorithmName="SHA-512" hashValue="EAoPKAxi554//9J8YG5wQnwDJtd+Jvew6bwqdt54bfsjIV+G9bLlPCylj/WWlpMs2Ik3A27T1wYHojWSahdCWw==" saltValue="0aigw1n0w2gYtueCRiqRWg==" spinCount="100000" sheet="1" formatColumns="0" selectLockedCells="1" selectUnlockedCells="1"/>
  <mergeCells count="14">
    <mergeCell ref="C28:D28"/>
    <mergeCell ref="A26:D26"/>
    <mergeCell ref="A20:A21"/>
    <mergeCell ref="A1:D1"/>
    <mergeCell ref="A3:D3"/>
    <mergeCell ref="A2:D2"/>
    <mergeCell ref="A6:A7"/>
    <mergeCell ref="A5:B5"/>
    <mergeCell ref="C5:D5"/>
    <mergeCell ref="A12:B12"/>
    <mergeCell ref="A19:B19"/>
    <mergeCell ref="C12:D12"/>
    <mergeCell ref="C19:D19"/>
    <mergeCell ref="A13:A14"/>
  </mergeCells>
  <phoneticPr fontId="30" type="noConversion"/>
  <printOptions horizontalCentered="1" verticalCentered="1"/>
  <pageMargins left="0.2" right="0" top="0.17" bottom="0.16" header="0.18" footer="0.2"/>
  <pageSetup paperSize="9" orientation="landscape" horizontalDpi="300" verticalDpi="4294967292"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6"/>
  <dimension ref="A1:M21"/>
  <sheetViews>
    <sheetView showGridLines="0" workbookViewId="0">
      <selection activeCell="B2" sqref="B2"/>
    </sheetView>
  </sheetViews>
  <sheetFormatPr defaultColWidth="9.33203125" defaultRowHeight="11.25" x14ac:dyDescent="0.2"/>
  <cols>
    <col min="1" max="1" width="66.33203125" style="3" customWidth="1"/>
    <col min="2" max="3" width="19.6640625" style="3" customWidth="1"/>
    <col min="4" max="4" width="26.6640625" style="3" customWidth="1"/>
    <col min="5" max="5" width="25.1640625" style="3" customWidth="1"/>
    <col min="6" max="16384" width="9.33203125" style="3"/>
  </cols>
  <sheetData>
    <row r="1" spans="1:13" ht="43.5" customHeight="1" x14ac:dyDescent="0.2">
      <c r="A1" s="1486" t="str">
        <f>'t1'!A1</f>
        <v>REGIONE VALLE D'AOSTA - anno 2024</v>
      </c>
      <c r="B1" s="1486"/>
      <c r="C1" s="1486"/>
      <c r="D1" s="1486"/>
      <c r="E1" s="270"/>
      <c r="F1" s="273"/>
      <c r="G1" s="273"/>
      <c r="H1" s="273"/>
      <c r="I1" s="273"/>
      <c r="M1"/>
    </row>
    <row r="2" spans="1:13" ht="16.5" thickBot="1" x14ac:dyDescent="0.3">
      <c r="A2" s="779" t="s">
        <v>648</v>
      </c>
      <c r="C2" s="1573"/>
      <c r="D2" s="1573"/>
      <c r="E2" s="1573"/>
      <c r="F2" s="274"/>
      <c r="G2" s="274"/>
      <c r="H2" s="274"/>
      <c r="I2" s="274"/>
      <c r="M2"/>
    </row>
    <row r="3" spans="1:13" ht="30" customHeight="1" thickBot="1" x14ac:dyDescent="0.3">
      <c r="A3" s="1592" t="s">
        <v>649</v>
      </c>
      <c r="B3" s="1593"/>
      <c r="C3" s="1593"/>
      <c r="D3" s="1593"/>
      <c r="E3" s="1594"/>
    </row>
    <row r="4" spans="1:13" s="169" customFormat="1" ht="31.5" x14ac:dyDescent="0.15">
      <c r="A4" s="560" t="s">
        <v>650</v>
      </c>
      <c r="B4" s="561" t="s">
        <v>651</v>
      </c>
      <c r="C4" s="561" t="s">
        <v>227</v>
      </c>
      <c r="D4" s="562" t="s">
        <v>228</v>
      </c>
      <c r="E4" s="563" t="s">
        <v>484</v>
      </c>
    </row>
    <row r="5" spans="1:13" ht="20.25" customHeight="1" x14ac:dyDescent="0.2">
      <c r="A5" s="172" t="s">
        <v>1059</v>
      </c>
      <c r="B5" s="692">
        <f>SI_1!G56</f>
        <v>21</v>
      </c>
      <c r="C5" s="176">
        <f>'t14'!D12</f>
        <v>118684</v>
      </c>
      <c r="D5" s="179" t="str">
        <f>IF(B5=0,IF(C5=0,"OK","MANCANO LE UNITA'"),IF(C5=0,"MANCANO LE SPESE","OK"))</f>
        <v>OK</v>
      </c>
      <c r="E5" s="175">
        <f>IF(AND(B5&gt;0,C5&gt;0),C5/B5," ")</f>
        <v>5652</v>
      </c>
    </row>
    <row r="6" spans="1:13" ht="20.25" customHeight="1" x14ac:dyDescent="0.2">
      <c r="A6" s="172" t="s">
        <v>1060</v>
      </c>
      <c r="B6" s="692">
        <f>SI_1!G59</f>
        <v>40</v>
      </c>
      <c r="C6" s="176">
        <f>'t14'!D13</f>
        <v>502102</v>
      </c>
      <c r="D6" s="179" t="str">
        <f>IF(B6=0,IF(C6=0,"OK","MANCANO LE UNITA'"),IF(C6=0,"MANCANO LE SPESE","OK"))</f>
        <v>OK</v>
      </c>
      <c r="E6" s="175">
        <f>IF(AND(B6&gt;0,C6&gt;0),C6/B6," ")</f>
        <v>12553</v>
      </c>
    </row>
    <row r="7" spans="1:13" ht="20.25" customHeight="1" thickBot="1" x14ac:dyDescent="0.25">
      <c r="A7" s="173" t="s">
        <v>3</v>
      </c>
      <c r="B7" s="693">
        <f>SI_1!G62</f>
        <v>93</v>
      </c>
      <c r="C7" s="177">
        <f>'t14'!D14</f>
        <v>1310379</v>
      </c>
      <c r="D7" s="180" t="str">
        <f>IF(B7=0,IF(C7=0,"OK","MANCANO LE UNITA'"),IF(C7=0,"MANCANO LE SPESE","OK"))</f>
        <v>OK</v>
      </c>
      <c r="E7" s="425">
        <f>IF(AND(B7&gt;0,C7&gt;0),C7/B7," ")</f>
        <v>14090</v>
      </c>
    </row>
    <row r="10" spans="1:13" ht="18.75" thickBot="1" x14ac:dyDescent="0.3">
      <c r="A10" s="780" t="s">
        <v>652</v>
      </c>
    </row>
    <row r="11" spans="1:13" ht="30" customHeight="1" thickBot="1" x14ac:dyDescent="0.3">
      <c r="A11" s="1592" t="s">
        <v>653</v>
      </c>
      <c r="B11" s="1593"/>
      <c r="C11" s="1593"/>
      <c r="D11" s="1593"/>
      <c r="E11" s="1594"/>
    </row>
    <row r="12" spans="1:13" s="169" customFormat="1" ht="32.25" thickBot="1" x14ac:dyDescent="0.2">
      <c r="A12" s="560" t="s">
        <v>654</v>
      </c>
      <c r="B12" s="561" t="s">
        <v>655</v>
      </c>
      <c r="C12" s="561" t="s">
        <v>227</v>
      </c>
      <c r="D12" s="562" t="s">
        <v>228</v>
      </c>
      <c r="E12" s="563" t="s">
        <v>484</v>
      </c>
    </row>
    <row r="13" spans="1:13" ht="20.25" customHeight="1" x14ac:dyDescent="0.2">
      <c r="A13" s="422" t="s">
        <v>187</v>
      </c>
      <c r="B13" s="691">
        <f>'t2'!C11+'t2'!D11</f>
        <v>270.57</v>
      </c>
      <c r="C13" s="423">
        <f>'t14'!D16</f>
        <v>7135147</v>
      </c>
      <c r="D13" s="424" t="str">
        <f>IF(B13=0,IF(C13=0,"OK","MANCANO LE UNITA'"),IF(C13=0,"MANCANO LE SPESE","OK"))</f>
        <v>OK</v>
      </c>
      <c r="E13" s="174">
        <f>IF(AND(B13&gt;0,C13&gt;0),C13/B13," ")</f>
        <v>26371</v>
      </c>
    </row>
    <row r="14" spans="1:13" ht="20.25" customHeight="1" x14ac:dyDescent="0.2">
      <c r="A14" s="172" t="s">
        <v>188</v>
      </c>
      <c r="B14" s="692">
        <f>'t2'!E11+'t2'!F11</f>
        <v>0</v>
      </c>
      <c r="C14" s="176">
        <f>'t14'!D17</f>
        <v>0</v>
      </c>
      <c r="D14" s="179" t="str">
        <f>IF(B14=0,IF(C14=0,"OK","MANCANO LE UNITA'"),IF(C14=0,"MANCANO LE SPESE","OK"))</f>
        <v>OK</v>
      </c>
      <c r="E14" s="175" t="str">
        <f>IF(AND(B14&gt;0,C14&gt;0),C14/B14," ")</f>
        <v xml:space="preserve"> </v>
      </c>
    </row>
    <row r="15" spans="1:13" ht="20.25" customHeight="1" x14ac:dyDescent="0.2">
      <c r="A15" s="172" t="s">
        <v>55</v>
      </c>
      <c r="B15" s="692">
        <f>'t2'!G11+'t2'!H11</f>
        <v>0</v>
      </c>
      <c r="C15" s="176">
        <f>'t14'!D23</f>
        <v>0</v>
      </c>
      <c r="D15" s="179" t="str">
        <f>IF(B15=0,IF(C15=0,"OK","MANCANO LE UNITA'"),IF(C15=0,"MANCANO LE SPESE","OK"))</f>
        <v>OK</v>
      </c>
      <c r="E15" s="175" t="str">
        <f>IF(AND(B15&gt;0,C15&gt;0),C15/B15," ")</f>
        <v xml:space="preserve"> </v>
      </c>
    </row>
    <row r="16" spans="1:13" ht="20.25" customHeight="1" x14ac:dyDescent="0.2">
      <c r="A16" s="172" t="s">
        <v>189</v>
      </c>
      <c r="B16" s="692">
        <f>'t2'!I11+'t2'!J11</f>
        <v>0</v>
      </c>
      <c r="C16" s="176">
        <f>'t14'!D24</f>
        <v>0</v>
      </c>
      <c r="D16" s="179" t="str">
        <f>IF(B16=0,IF(C16=0,"OK","MANCANO LE UNITA'"),IF(C16=0,"MANCANO LE SPESE","OK"))</f>
        <v>OK</v>
      </c>
      <c r="E16" s="175" t="str">
        <f>IF(AND(B16&gt;0,C16&gt;0),C16/B16," ")</f>
        <v xml:space="preserve"> </v>
      </c>
    </row>
    <row r="17" spans="1:5" ht="14.1" customHeight="1" thickBot="1" x14ac:dyDescent="0.3">
      <c r="A17" s="781"/>
      <c r="B17" s="782"/>
      <c r="C17" s="782"/>
      <c r="D17" s="782"/>
      <c r="E17" s="783"/>
    </row>
    <row r="18" spans="1:5" s="169" customFormat="1" ht="31.5" x14ac:dyDescent="0.15">
      <c r="A18" s="427" t="s">
        <v>482</v>
      </c>
      <c r="B18" s="428" t="s">
        <v>483</v>
      </c>
      <c r="C18" s="428" t="s">
        <v>227</v>
      </c>
      <c r="D18" s="429" t="s">
        <v>486</v>
      </c>
      <c r="E18" s="579" t="s">
        <v>485</v>
      </c>
    </row>
    <row r="19" spans="1:5" ht="27.75" customHeight="1" x14ac:dyDescent="0.2">
      <c r="A19" s="559" t="str">
        <f>'t14'!A10</f>
        <v>SOMME CORRISPOSTE AD AGENZIA DI SOMMINISTRAZIONE(INTERINALI)</v>
      </c>
      <c r="B19" s="86" t="str">
        <f>'t14'!B10</f>
        <v>L105</v>
      </c>
      <c r="C19" s="598">
        <f>'t14'!D10</f>
        <v>0</v>
      </c>
      <c r="D19" s="580" t="str">
        <f>(IF(AND(C19=0,C20&gt;0),"INSERIRE SOMME SPETTANTI ALL'AGENZIA (L105)","OK"))</f>
        <v>OK</v>
      </c>
      <c r="E19" s="1595" t="str">
        <f>(IF(AND(C19&gt;0,C20&gt;0),C19/C20," "))</f>
        <v xml:space="preserve"> </v>
      </c>
    </row>
    <row r="20" spans="1:5" ht="27.75" customHeight="1" x14ac:dyDescent="0.2">
      <c r="A20" s="564" t="str">
        <f>'t14'!A23</f>
        <v>ONERI PER I CONTRATTI DI SOMMINISTRAZIONE(INTERINALI)</v>
      </c>
      <c r="B20" s="565" t="str">
        <f>'t14'!B23</f>
        <v>P062</v>
      </c>
      <c r="C20" s="599">
        <f>'t14'!D23</f>
        <v>0</v>
      </c>
      <c r="D20" s="581" t="str">
        <f>(IF(AND(C20=0,C19&gt;0),"INSERIRE RETRIBUZIONI PER INTERINALI (P062)","OK"))</f>
        <v>OK</v>
      </c>
      <c r="E20" s="1596"/>
    </row>
    <row r="21" spans="1:5" ht="40.5" customHeight="1" thickBot="1" x14ac:dyDescent="0.25">
      <c r="A21" s="1598" t="s">
        <v>499</v>
      </c>
      <c r="B21" s="1599"/>
      <c r="C21" s="1600"/>
      <c r="D21" s="582" t="str">
        <f>(IF(AND(C19&gt;0,C20&gt;0),IF(C19&gt;(C20/100*30),"ATTENZIONE: la voce L105 supera il 30% della voce P062. L'IN1 andrà giustificata","OK"),"OK"))</f>
        <v>OK</v>
      </c>
      <c r="E21" s="1597"/>
    </row>
  </sheetData>
  <sheetProtection algorithmName="SHA-512" hashValue="muKl+4eH6Gr+2+sJbOrkdP2xOnPlmf9/Xg6O6dYZSg2JH4K4o4U9LJw/+Gol01tV7FLYenTv/D3V3yuzAOpdZA==" saltValue="uAJAR+agQqodKkYGiREgCQ==" spinCount="100000" sheet="1" formatColumns="0" selectLockedCells="1" selectUnlockedCells="1"/>
  <mergeCells count="6">
    <mergeCell ref="A3:E3"/>
    <mergeCell ref="A1:D1"/>
    <mergeCell ref="C2:E2"/>
    <mergeCell ref="E19:E21"/>
    <mergeCell ref="A21:C21"/>
    <mergeCell ref="A11:E11"/>
  </mergeCells>
  <phoneticPr fontId="30" type="noConversion"/>
  <conditionalFormatting sqref="D5:D7 D13:D16 D19:D21">
    <cfRule type="notContainsText" dxfId="20" priority="1" stopIfTrue="1" operator="notContains" text="ok">
      <formula>ISERROR(SEARCH("ok",D5))</formula>
    </cfRule>
  </conditionalFormatting>
  <printOptions horizontalCentered="1" verticalCentered="1"/>
  <pageMargins left="0" right="0" top="0.19685039370078741" bottom="0.31496062992125984" header="0.51181102362204722" footer="0.51181102362204722"/>
  <pageSetup paperSize="9" scale="90" orientation="landscape" horizontalDpi="300" verticalDpi="4294967292"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7">
    <pageSetUpPr fitToPage="1"/>
  </sheetPr>
  <dimension ref="A1:M33"/>
  <sheetViews>
    <sheetView showGridLines="0" workbookViewId="0">
      <pane ySplit="5" topLeftCell="A6" activePane="bottomLeft" state="frozen"/>
      <selection activeCell="A2" sqref="A2"/>
      <selection pane="bottomLeft" activeCell="A5" sqref="A5"/>
    </sheetView>
  </sheetViews>
  <sheetFormatPr defaultRowHeight="11.25" x14ac:dyDescent="0.2"/>
  <cols>
    <col min="1" max="1" width="38.6640625" style="3" customWidth="1"/>
    <col min="2" max="2" width="11.33203125" style="2" customWidth="1"/>
    <col min="3" max="3" width="13.1640625" style="2" customWidth="1"/>
    <col min="4" max="4" width="17.6640625" style="2" customWidth="1"/>
    <col min="5" max="6" width="15.6640625" style="2" customWidth="1"/>
    <col min="7" max="8" width="15.6640625" style="89" customWidth="1"/>
    <col min="9" max="9" width="18.33203125" style="89" customWidth="1"/>
    <col min="10" max="10" width="9.33203125" style="89" customWidth="1"/>
  </cols>
  <sheetData>
    <row r="1" spans="1:13" s="3" customFormat="1" ht="43.5" customHeight="1" x14ac:dyDescent="0.2">
      <c r="A1" s="1486" t="str">
        <f>'t1'!A1</f>
        <v>REGIONE VALLE D'AOSTA - anno 2024</v>
      </c>
      <c r="B1" s="1486"/>
      <c r="C1" s="1486"/>
      <c r="D1" s="1486"/>
      <c r="E1" s="1486"/>
      <c r="F1" s="1486"/>
      <c r="G1" s="1486"/>
      <c r="H1" s="1486"/>
      <c r="I1" s="270"/>
      <c r="M1"/>
    </row>
    <row r="2" spans="1:13" s="3" customFormat="1" ht="21" customHeight="1" x14ac:dyDescent="0.2">
      <c r="D2" s="1573"/>
      <c r="E2" s="1573"/>
      <c r="F2" s="1573"/>
      <c r="G2" s="1573"/>
      <c r="H2" s="1573"/>
      <c r="I2" s="1573"/>
      <c r="J2" s="274"/>
      <c r="M2"/>
    </row>
    <row r="3" spans="1:13" s="3" customFormat="1" ht="21" customHeight="1" x14ac:dyDescent="0.25">
      <c r="A3" s="168" t="s">
        <v>255</v>
      </c>
      <c r="B3" s="2"/>
      <c r="F3" s="2"/>
    </row>
    <row r="4" spans="1:13" ht="56.25" x14ac:dyDescent="0.15">
      <c r="A4" s="154" t="s">
        <v>229</v>
      </c>
      <c r="B4" s="155" t="s">
        <v>191</v>
      </c>
      <c r="C4" s="155" t="s">
        <v>230</v>
      </c>
      <c r="D4" s="155" t="s">
        <v>234</v>
      </c>
      <c r="E4" s="155" t="s">
        <v>235</v>
      </c>
      <c r="F4" s="155" t="s">
        <v>236</v>
      </c>
      <c r="G4" s="155" t="s">
        <v>190</v>
      </c>
      <c r="H4" s="155" t="s">
        <v>237</v>
      </c>
      <c r="I4" s="155" t="s">
        <v>445</v>
      </c>
    </row>
    <row r="5" spans="1:13" s="171" customFormat="1" ht="10.5" x14ac:dyDescent="0.15">
      <c r="A5" s="153"/>
      <c r="B5" s="166"/>
      <c r="C5" s="166" t="s">
        <v>193</v>
      </c>
      <c r="D5" s="166" t="s">
        <v>194</v>
      </c>
      <c r="E5" s="166" t="s">
        <v>231</v>
      </c>
      <c r="F5" s="166" t="s">
        <v>196</v>
      </c>
      <c r="G5" s="166" t="s">
        <v>232</v>
      </c>
      <c r="H5" s="166" t="s">
        <v>233</v>
      </c>
      <c r="I5" s="166" t="s">
        <v>446</v>
      </c>
      <c r="J5" s="170"/>
    </row>
    <row r="6" spans="1:13" ht="12.75" x14ac:dyDescent="0.2">
      <c r="A6" s="112" t="str">
        <f>'t1'!A6</f>
        <v>SEGRETARIO I FASCIA</v>
      </c>
      <c r="B6" s="86" t="str">
        <f>'t1'!B6</f>
        <v>0D0102</v>
      </c>
      <c r="C6" s="294">
        <f>'t12'!C6</f>
        <v>0</v>
      </c>
      <c r="D6" s="295">
        <f>'t12'!D6</f>
        <v>0</v>
      </c>
      <c r="E6" s="296" t="str">
        <f>IF(C6=0," ",D6/C6*12)</f>
        <v xml:space="preserve"> </v>
      </c>
      <c r="F6" s="315">
        <v>44984.76</v>
      </c>
      <c r="G6" s="296" t="str">
        <f>IF(E6=" "," ",E6-F6)</f>
        <v xml:space="preserve"> </v>
      </c>
      <c r="H6" s="297" t="str">
        <f>IF(E6=" "," ",IF(F6=0," ",G6/F6))</f>
        <v xml:space="preserve"> </v>
      </c>
      <c r="I6" s="281" t="str">
        <f>IF(E6=" "," ",IF(F6=0," ",IF(ABS(H6)&gt;0.02,"ERRORE","OK")))</f>
        <v xml:space="preserve"> </v>
      </c>
      <c r="K6" s="854"/>
    </row>
    <row r="7" spans="1:13" ht="12.75" x14ac:dyDescent="0.2">
      <c r="A7" s="112" t="str">
        <f>'t1'!A7</f>
        <v>SEGRETARIO II FASCIA</v>
      </c>
      <c r="B7" s="86" t="str">
        <f>'t1'!B7</f>
        <v>0D0103</v>
      </c>
      <c r="C7" s="294">
        <f>'t12'!C7</f>
        <v>0</v>
      </c>
      <c r="D7" s="295">
        <f>'t12'!D7</f>
        <v>0</v>
      </c>
      <c r="E7" s="296" t="str">
        <f>IF(C7=0," ",D7/C7*12)</f>
        <v xml:space="preserve"> </v>
      </c>
      <c r="F7" s="315">
        <v>44984.76</v>
      </c>
      <c r="G7" s="296" t="str">
        <f>IF(E7=" "," ",E7-F7)</f>
        <v xml:space="preserve"> </v>
      </c>
      <c r="H7" s="297" t="str">
        <f>IF(E7=" "," ",IF(F7=0," ",G7/F7))</f>
        <v xml:space="preserve"> </v>
      </c>
      <c r="I7" s="281" t="str">
        <f>IF(E7=" "," ",IF(F7=0," ",IF(ABS(H7)&gt;0.02,"ERRORE","OK")))</f>
        <v xml:space="preserve"> </v>
      </c>
      <c r="K7" s="854"/>
    </row>
    <row r="8" spans="1:13" ht="12.75" x14ac:dyDescent="0.2">
      <c r="A8" s="112" t="str">
        <f>'t1'!A8</f>
        <v>SEGRETARIO III FASCIA</v>
      </c>
      <c r="B8" s="86" t="str">
        <f>'t1'!B8</f>
        <v>0D0485</v>
      </c>
      <c r="C8" s="294">
        <f>'t12'!C8</f>
        <v>0</v>
      </c>
      <c r="D8" s="295">
        <f>'t12'!D8</f>
        <v>0</v>
      </c>
      <c r="E8" s="296" t="str">
        <f>IF(C8=0," ",D8/C8*12)</f>
        <v xml:space="preserve"> </v>
      </c>
      <c r="F8" s="315">
        <v>44984.76</v>
      </c>
      <c r="G8" s="296" t="str">
        <f>IF(E8=" "," ",E8-F8)</f>
        <v xml:space="preserve"> </v>
      </c>
      <c r="H8" s="297" t="str">
        <f>IF(E8=" "," ",IF(F8=0," ",G8/F8))</f>
        <v xml:space="preserve"> </v>
      </c>
      <c r="I8" s="281" t="str">
        <f>IF(E8=" "," ",IF(F8=0," ",IF(ABS(H8)&gt;0.02,"ERRORE","OK")))</f>
        <v xml:space="preserve"> </v>
      </c>
      <c r="K8" s="854"/>
    </row>
    <row r="9" spans="1:13" ht="12.75" x14ac:dyDescent="0.2">
      <c r="A9" s="112" t="str">
        <f>'t1'!A9</f>
        <v>DIRIGENTI</v>
      </c>
      <c r="B9" s="86" t="str">
        <f>'t1'!B9</f>
        <v>0D0164</v>
      </c>
      <c r="C9" s="294">
        <f>'t12'!C9</f>
        <v>1308.3599999999999</v>
      </c>
      <c r="D9" s="295">
        <f>'t12'!D9</f>
        <v>4995190</v>
      </c>
      <c r="E9" s="296">
        <f>IF(C9=0," ",D9/C9*12)</f>
        <v>45814.82</v>
      </c>
      <c r="F9" s="315">
        <v>44984.76</v>
      </c>
      <c r="G9" s="296">
        <f>IF(E9=" "," ",E9-F9)</f>
        <v>830.06</v>
      </c>
      <c r="H9" s="297">
        <f>IF(E9=" "," ",IF(F9=0," ",G9/F9))</f>
        <v>1.8499999999999999E-2</v>
      </c>
      <c r="I9" s="281" t="str">
        <f>IF(E9=" "," ",IF(F9=0," ",IF(ABS(H9)&gt;0.02,"ERRORE","OK")))</f>
        <v>OK</v>
      </c>
      <c r="K9" s="854"/>
    </row>
    <row r="10" spans="1:13" ht="12.75" x14ac:dyDescent="0.2">
      <c r="A10" s="112" t="str">
        <f>'t1'!A10</f>
        <v>POSIZIONE ECONOMICA D</v>
      </c>
      <c r="B10" s="86" t="str">
        <f>'t1'!B10</f>
        <v>047000</v>
      </c>
      <c r="C10" s="294">
        <f>'t12'!C10</f>
        <v>5013.7299999999996</v>
      </c>
      <c r="D10" s="295">
        <f>'t12'!D10</f>
        <v>11578123</v>
      </c>
      <c r="E10" s="296">
        <f t="shared" ref="E10:E25" si="0">IF(C10=0," ",D10/C10*12)</f>
        <v>27711.4</v>
      </c>
      <c r="F10" s="315">
        <v>28267.69</v>
      </c>
      <c r="G10" s="296">
        <f t="shared" ref="G10:G25" si="1">IF(E10=" "," ",E10-F10)</f>
        <v>-556.29</v>
      </c>
      <c r="H10" s="297">
        <f t="shared" ref="H10:H25" si="2">IF(E10=" "," ",IF(F10=0," ",G10/F10))</f>
        <v>-1.9699999999999999E-2</v>
      </c>
      <c r="I10" s="281" t="str">
        <f t="shared" ref="I10:I25" si="3">IF(E10=" "," ",IF(F10=0," ",IF(ABS(H10)&gt;0.02,"ERRORE","OK")))</f>
        <v>OK</v>
      </c>
      <c r="K10" s="854"/>
    </row>
    <row r="11" spans="1:13" ht="12.75" x14ac:dyDescent="0.2">
      <c r="A11" s="112" t="str">
        <f>'t1'!A11</f>
        <v>POSIZIONE ECONOMICA D - FORESTALE</v>
      </c>
      <c r="B11" s="86" t="str">
        <f>'t1'!B11</f>
        <v>047FOR</v>
      </c>
      <c r="C11" s="294">
        <f>'t12'!C11</f>
        <v>0</v>
      </c>
      <c r="D11" s="295">
        <f>'t12'!D11</f>
        <v>0</v>
      </c>
      <c r="E11" s="296" t="str">
        <f t="shared" si="0"/>
        <v xml:space="preserve"> </v>
      </c>
      <c r="F11" s="315">
        <v>28267.69</v>
      </c>
      <c r="G11" s="296" t="str">
        <f t="shared" si="1"/>
        <v xml:space="preserve"> </v>
      </c>
      <c r="H11" s="297" t="str">
        <f t="shared" si="2"/>
        <v xml:space="preserve"> </v>
      </c>
      <c r="I11" s="281" t="str">
        <f t="shared" si="3"/>
        <v xml:space="preserve"> </v>
      </c>
      <c r="K11" s="854"/>
    </row>
    <row r="12" spans="1:13" ht="12.75" x14ac:dyDescent="0.2">
      <c r="A12" s="112" t="str">
        <f>'t1'!A12</f>
        <v>POSIZIONE ECONOMICA D  ISPETTORE ANTINCENDI DIRETTORE-VVFF</v>
      </c>
      <c r="B12" s="86" t="str">
        <f>'t1'!B12</f>
        <v>047IS3</v>
      </c>
      <c r="C12" s="294">
        <f>'t12'!C12</f>
        <v>1</v>
      </c>
      <c r="D12" s="295">
        <f>'t12'!D12</f>
        <v>2356</v>
      </c>
      <c r="E12" s="296">
        <f t="shared" si="0"/>
        <v>28272</v>
      </c>
      <c r="F12" s="315">
        <v>28267.69</v>
      </c>
      <c r="G12" s="296">
        <f t="shared" si="1"/>
        <v>4.3099999999999996</v>
      </c>
      <c r="H12" s="297">
        <f t="shared" si="2"/>
        <v>2.0000000000000001E-4</v>
      </c>
      <c r="I12" s="281" t="str">
        <f t="shared" si="3"/>
        <v>OK</v>
      </c>
      <c r="K12" s="854"/>
    </row>
    <row r="13" spans="1:13" ht="12.75" x14ac:dyDescent="0.2">
      <c r="A13" s="112" t="str">
        <f>'t1'!A13</f>
        <v>POSIZIONE ECONOMICA D  ISPETTORE ANTINCENDI  VVFF</v>
      </c>
      <c r="B13" s="86" t="str">
        <f>'t1'!B13</f>
        <v>047IS2</v>
      </c>
      <c r="C13" s="294">
        <f>'t12'!C13</f>
        <v>47</v>
      </c>
      <c r="D13" s="295">
        <f>'t12'!D13</f>
        <v>110715</v>
      </c>
      <c r="E13" s="296">
        <f t="shared" si="0"/>
        <v>28267.66</v>
      </c>
      <c r="F13" s="315">
        <v>28267.69</v>
      </c>
      <c r="G13" s="296">
        <f t="shared" si="1"/>
        <v>-0.03</v>
      </c>
      <c r="H13" s="297">
        <f t="shared" si="2"/>
        <v>0</v>
      </c>
      <c r="I13" s="281" t="str">
        <f t="shared" si="3"/>
        <v>OK</v>
      </c>
      <c r="K13" s="854"/>
    </row>
    <row r="14" spans="1:13" ht="12.75" x14ac:dyDescent="0.2">
      <c r="A14" s="112" t="str">
        <f>'t1'!A14</f>
        <v>POSIZIONE ECONOMICA C2</v>
      </c>
      <c r="B14" s="86" t="str">
        <f>'t1'!B14</f>
        <v>042000</v>
      </c>
      <c r="C14" s="294">
        <f>'t12'!C14</f>
        <v>7829.03</v>
      </c>
      <c r="D14" s="295">
        <f>'t12'!D14</f>
        <v>15961082</v>
      </c>
      <c r="E14" s="296">
        <f t="shared" si="0"/>
        <v>24464.46</v>
      </c>
      <c r="F14" s="315">
        <v>24526.3</v>
      </c>
      <c r="G14" s="296">
        <f t="shared" si="1"/>
        <v>-61.84</v>
      </c>
      <c r="H14" s="297">
        <f t="shared" si="2"/>
        <v>-2.5000000000000001E-3</v>
      </c>
      <c r="I14" s="281" t="str">
        <f t="shared" si="3"/>
        <v>OK</v>
      </c>
      <c r="K14" s="854"/>
    </row>
    <row r="15" spans="1:13" ht="12.75" x14ac:dyDescent="0.2">
      <c r="A15" s="112" t="str">
        <f>'t1'!A15</f>
        <v>POSIZIONE ECONOMICA C1</v>
      </c>
      <c r="B15" s="86" t="str">
        <f>'t1'!B15</f>
        <v>040000</v>
      </c>
      <c r="C15" s="294">
        <f>'t12'!C15</f>
        <v>301.3</v>
      </c>
      <c r="D15" s="295">
        <f>'t12'!D15</f>
        <v>556420</v>
      </c>
      <c r="E15" s="296">
        <f t="shared" si="0"/>
        <v>22160.77</v>
      </c>
      <c r="F15" s="315">
        <v>22160.78</v>
      </c>
      <c r="G15" s="296">
        <f t="shared" si="1"/>
        <v>-0.01</v>
      </c>
      <c r="H15" s="297">
        <f t="shared" si="2"/>
        <v>0</v>
      </c>
      <c r="I15" s="281" t="str">
        <f t="shared" si="3"/>
        <v>OK</v>
      </c>
      <c r="K15" s="854"/>
    </row>
    <row r="16" spans="1:13" ht="12.75" x14ac:dyDescent="0.2">
      <c r="A16" s="112" t="str">
        <f>'t1'!A16</f>
        <v>ISPETTORE FORESTALE C21F</v>
      </c>
      <c r="B16" s="86" t="str">
        <f>'t1'!B16</f>
        <v>042324</v>
      </c>
      <c r="C16" s="294">
        <f>'t12'!C16</f>
        <v>215.2</v>
      </c>
      <c r="D16" s="295">
        <f>'t12'!D16</f>
        <v>440160</v>
      </c>
      <c r="E16" s="296">
        <f t="shared" si="0"/>
        <v>24544.240000000002</v>
      </c>
      <c r="F16" s="315">
        <v>24526.3</v>
      </c>
      <c r="G16" s="296">
        <f t="shared" si="1"/>
        <v>17.940000000000001</v>
      </c>
      <c r="H16" s="297">
        <f t="shared" si="2"/>
        <v>6.9999999999999999E-4</v>
      </c>
      <c r="I16" s="281" t="str">
        <f t="shared" si="3"/>
        <v>OK</v>
      </c>
      <c r="K16" s="854"/>
    </row>
    <row r="17" spans="1:11" ht="12.75" x14ac:dyDescent="0.2">
      <c r="A17" s="112" t="str">
        <f>'t1'!A17</f>
        <v>SOVRAINTENDENTE C1F</v>
      </c>
      <c r="B17" s="86" t="str">
        <f>'t1'!B17</f>
        <v>040211</v>
      </c>
      <c r="C17" s="294">
        <f>'t12'!C17</f>
        <v>257.37</v>
      </c>
      <c r="D17" s="295">
        <f>'t12'!D17</f>
        <v>475078</v>
      </c>
      <c r="E17" s="296">
        <f t="shared" si="0"/>
        <v>22150.74</v>
      </c>
      <c r="F17" s="315">
        <v>22160.78</v>
      </c>
      <c r="G17" s="296">
        <f t="shared" si="1"/>
        <v>-10.039999999999999</v>
      </c>
      <c r="H17" s="297">
        <f t="shared" si="2"/>
        <v>-5.0000000000000001E-4</v>
      </c>
      <c r="I17" s="281" t="str">
        <f t="shared" si="3"/>
        <v>OK</v>
      </c>
      <c r="K17" s="854"/>
    </row>
    <row r="18" spans="1:11" ht="12.75" x14ac:dyDescent="0.2">
      <c r="A18" s="112" t="str">
        <f>'t1'!A18</f>
        <v>POSIZIONE ECONOMICA C2  CAPO REPARTO  VVFF</v>
      </c>
      <c r="B18" s="86" t="str">
        <f>'t1'!B18</f>
        <v>042CR1</v>
      </c>
      <c r="C18" s="294">
        <f>'t12'!C18</f>
        <v>133.47</v>
      </c>
      <c r="D18" s="295">
        <f>'t12'!D18</f>
        <v>272778</v>
      </c>
      <c r="E18" s="296">
        <f t="shared" si="0"/>
        <v>24524.880000000001</v>
      </c>
      <c r="F18" s="315">
        <v>24526.3</v>
      </c>
      <c r="G18" s="296">
        <f t="shared" si="1"/>
        <v>-1.42</v>
      </c>
      <c r="H18" s="297">
        <f t="shared" si="2"/>
        <v>-1E-4</v>
      </c>
      <c r="I18" s="281" t="str">
        <f t="shared" si="3"/>
        <v>OK</v>
      </c>
      <c r="K18" s="854"/>
    </row>
    <row r="19" spans="1:11" ht="12.75" x14ac:dyDescent="0.2">
      <c r="A19" s="112" t="str">
        <f>'t1'!A19</f>
        <v>POSIZIONE ECONOMICA C2  COLLAB. TECNICO ANTINCENDI  VVFF</v>
      </c>
      <c r="B19" s="86" t="str">
        <f>'t1'!B19</f>
        <v>042CA0</v>
      </c>
      <c r="C19" s="294">
        <f>'t12'!C19</f>
        <v>96</v>
      </c>
      <c r="D19" s="295">
        <f>'t12'!D19</f>
        <v>196211</v>
      </c>
      <c r="E19" s="296">
        <f t="shared" si="0"/>
        <v>24526.38</v>
      </c>
      <c r="F19" s="315">
        <v>24526.3</v>
      </c>
      <c r="G19" s="296">
        <f t="shared" si="1"/>
        <v>0.08</v>
      </c>
      <c r="H19" s="297">
        <f t="shared" si="2"/>
        <v>0</v>
      </c>
      <c r="I19" s="281" t="str">
        <f t="shared" si="3"/>
        <v>OK</v>
      </c>
      <c r="K19" s="854"/>
    </row>
    <row r="20" spans="1:11" ht="12.75" x14ac:dyDescent="0.2">
      <c r="A20" s="112" t="str">
        <f>'t1'!A20</f>
        <v>POSIZIONE ECONOMICA C1  CAPO SQUADRA  VVFF</v>
      </c>
      <c r="B20" s="86" t="str">
        <f>'t1'!B20</f>
        <v>040CS1</v>
      </c>
      <c r="C20" s="294">
        <f>'t12'!C20</f>
        <v>365.87</v>
      </c>
      <c r="D20" s="295">
        <f>'t12'!D20</f>
        <v>675657</v>
      </c>
      <c r="E20" s="296">
        <f t="shared" si="0"/>
        <v>22160.560000000001</v>
      </c>
      <c r="F20" s="315">
        <v>22160.78</v>
      </c>
      <c r="G20" s="296">
        <f t="shared" si="1"/>
        <v>-0.22</v>
      </c>
      <c r="H20" s="297">
        <f t="shared" si="2"/>
        <v>0</v>
      </c>
      <c r="I20" s="281" t="str">
        <f t="shared" si="3"/>
        <v>OK</v>
      </c>
      <c r="K20" s="854"/>
    </row>
    <row r="21" spans="1:11" ht="12.75" x14ac:dyDescent="0.2">
      <c r="A21" s="112" t="str">
        <f>'t1'!A21</f>
        <v>POSIZIONE ECONOMICA B3</v>
      </c>
      <c r="B21" s="86" t="str">
        <f>'t1'!B21</f>
        <v>034000</v>
      </c>
      <c r="C21" s="294">
        <f>'t12'!C21</f>
        <v>144.04</v>
      </c>
      <c r="D21" s="295">
        <f>'t12'!D21</f>
        <v>257657</v>
      </c>
      <c r="E21" s="296">
        <f t="shared" si="0"/>
        <v>21465.45</v>
      </c>
      <c r="F21" s="315">
        <v>21466.48</v>
      </c>
      <c r="G21" s="296">
        <f t="shared" si="1"/>
        <v>-1.03</v>
      </c>
      <c r="H21" s="297">
        <f t="shared" si="2"/>
        <v>0</v>
      </c>
      <c r="I21" s="281" t="str">
        <f t="shared" si="3"/>
        <v>OK</v>
      </c>
      <c r="K21" s="854"/>
    </row>
    <row r="22" spans="1:11" ht="12.75" x14ac:dyDescent="0.2">
      <c r="A22" s="112" t="str">
        <f>'t1'!A22</f>
        <v>POSIZIONE ECONOMICA B2S</v>
      </c>
      <c r="B22" s="86" t="str">
        <f>'t1'!B22</f>
        <v>033000</v>
      </c>
      <c r="C22" s="294">
        <f>'t12'!C22</f>
        <v>58</v>
      </c>
      <c r="D22" s="295">
        <f>'t12'!D22</f>
        <v>102484</v>
      </c>
      <c r="E22" s="296">
        <f t="shared" si="0"/>
        <v>21203.59</v>
      </c>
      <c r="F22" s="315">
        <v>21203.68</v>
      </c>
      <c r="G22" s="296">
        <f t="shared" si="1"/>
        <v>-0.09</v>
      </c>
      <c r="H22" s="297">
        <f t="shared" si="2"/>
        <v>0</v>
      </c>
      <c r="I22" s="281" t="str">
        <f t="shared" si="3"/>
        <v>OK</v>
      </c>
      <c r="K22" s="854"/>
    </row>
    <row r="23" spans="1:11" ht="12.75" x14ac:dyDescent="0.2">
      <c r="A23" s="112" t="str">
        <f>'t1'!A23</f>
        <v>POSIZIONE ECONOMICA B2</v>
      </c>
      <c r="B23" s="86" t="str">
        <f>'t1'!B23</f>
        <v>032000</v>
      </c>
      <c r="C23" s="294">
        <f>'t12'!C23</f>
        <v>6146.83</v>
      </c>
      <c r="D23" s="295">
        <f>'t12'!D23</f>
        <v>10705314</v>
      </c>
      <c r="E23" s="296">
        <f t="shared" si="0"/>
        <v>20899.189999999999</v>
      </c>
      <c r="F23" s="315">
        <v>20934.669999999998</v>
      </c>
      <c r="G23" s="296">
        <f t="shared" si="1"/>
        <v>-35.479999999999997</v>
      </c>
      <c r="H23" s="297">
        <f t="shared" si="2"/>
        <v>-1.6999999999999999E-3</v>
      </c>
      <c r="I23" s="281" t="str">
        <f t="shared" si="3"/>
        <v>OK</v>
      </c>
      <c r="K23" s="854"/>
    </row>
    <row r="24" spans="1:11" ht="12.75" x14ac:dyDescent="0.2">
      <c r="A24" s="112" t="str">
        <f>'t1'!A24</f>
        <v>POSIZIONE ECONOMICA B1</v>
      </c>
      <c r="B24" s="86" t="str">
        <f>'t1'!B24</f>
        <v>030000</v>
      </c>
      <c r="C24" s="294">
        <f>'t12'!C24</f>
        <v>284.92</v>
      </c>
      <c r="D24" s="295">
        <f>'t12'!D24</f>
        <v>477810</v>
      </c>
      <c r="E24" s="296">
        <f t="shared" si="0"/>
        <v>20123.96</v>
      </c>
      <c r="F24" s="315">
        <v>20121.82</v>
      </c>
      <c r="G24" s="296">
        <f t="shared" si="1"/>
        <v>2.14</v>
      </c>
      <c r="H24" s="297">
        <f t="shared" si="2"/>
        <v>1E-4</v>
      </c>
      <c r="I24" s="281" t="str">
        <f t="shared" si="3"/>
        <v>OK</v>
      </c>
      <c r="K24" s="854"/>
    </row>
    <row r="25" spans="1:11" ht="12.75" x14ac:dyDescent="0.2">
      <c r="A25" s="112" t="str">
        <f>'t1'!A25</f>
        <v>POS. EC. B3-GUARDIA  FORESTALE 5 A.</v>
      </c>
      <c r="B25" s="86" t="str">
        <f>'t1'!B25</f>
        <v>034561</v>
      </c>
      <c r="C25" s="294">
        <f>'t12'!C25</f>
        <v>528.09</v>
      </c>
      <c r="D25" s="295">
        <f>'t12'!D25</f>
        <v>944446</v>
      </c>
      <c r="E25" s="296">
        <f t="shared" si="0"/>
        <v>21461.02</v>
      </c>
      <c r="F25" s="315">
        <v>21466.48</v>
      </c>
      <c r="G25" s="296">
        <f t="shared" si="1"/>
        <v>-5.46</v>
      </c>
      <c r="H25" s="297">
        <f t="shared" si="2"/>
        <v>-2.9999999999999997E-4</v>
      </c>
      <c r="I25" s="281" t="str">
        <f t="shared" si="3"/>
        <v>OK</v>
      </c>
      <c r="K25" s="854"/>
    </row>
    <row r="26" spans="1:11" ht="12.75" x14ac:dyDescent="0.2">
      <c r="A26" s="112" t="str">
        <f>'t1'!A26</f>
        <v>POS. EC. B2-GUARDIA  FORESTALE</v>
      </c>
      <c r="B26" s="86" t="str">
        <f>'t1'!B26</f>
        <v>032561</v>
      </c>
      <c r="C26" s="294">
        <f>'t12'!C26</f>
        <v>231.14</v>
      </c>
      <c r="D26" s="295">
        <f>'t12'!D26</f>
        <v>403139</v>
      </c>
      <c r="E26" s="296">
        <f t="shared" ref="E26:E33" si="4">IF(C26=0," ",D26/C26*12)</f>
        <v>20929.599999999999</v>
      </c>
      <c r="F26" s="315">
        <v>20934.669999999998</v>
      </c>
      <c r="G26" s="296">
        <f t="shared" ref="G26:G31" si="5">IF(E26=" "," ",E26-F26)</f>
        <v>-5.07</v>
      </c>
      <c r="H26" s="297">
        <f t="shared" ref="H26:H31" si="6">IF(E26=" "," ",IF(F26=0," ",G26/F26))</f>
        <v>-2.0000000000000001E-4</v>
      </c>
      <c r="I26" s="281" t="str">
        <f t="shared" ref="I26:I31" si="7">IF(E26=" "," ",IF(F26=0," ",IF(ABS(H26)&gt;0.02,"ERRORE","OK")))</f>
        <v>OK</v>
      </c>
      <c r="K26" s="854"/>
    </row>
    <row r="27" spans="1:11" ht="12.75" x14ac:dyDescent="0.2">
      <c r="A27" s="112" t="str">
        <f>'t1'!A27</f>
        <v>POSIZIONE ECONOMICA B1 - FORESTALE</v>
      </c>
      <c r="B27" s="86" t="str">
        <f>'t1'!B27</f>
        <v>030FOR</v>
      </c>
      <c r="C27" s="294">
        <f>'t12'!C27</f>
        <v>0</v>
      </c>
      <c r="D27" s="295">
        <f>'t12'!D27</f>
        <v>0</v>
      </c>
      <c r="E27" s="296" t="str">
        <f t="shared" si="4"/>
        <v xml:space="preserve"> </v>
      </c>
      <c r="F27" s="315">
        <v>20121.82</v>
      </c>
      <c r="G27" s="296" t="str">
        <f t="shared" si="5"/>
        <v xml:space="preserve"> </v>
      </c>
      <c r="H27" s="297" t="str">
        <f t="shared" si="6"/>
        <v xml:space="preserve"> </v>
      </c>
      <c r="I27" s="281" t="str">
        <f t="shared" si="7"/>
        <v xml:space="preserve"> </v>
      </c>
      <c r="K27" s="854"/>
    </row>
    <row r="28" spans="1:11" ht="12.75" x14ac:dyDescent="0.2">
      <c r="A28" s="112" t="str">
        <f>'t1'!A28</f>
        <v>POSIZIONE ECONOMICA B3  VIGILE DEL FUOCO &gt; 5 ANNI</v>
      </c>
      <c r="B28" s="86" t="str">
        <f>'t1'!B28</f>
        <v>034VF5</v>
      </c>
      <c r="C28" s="294">
        <f>'t12'!C28</f>
        <v>1120.1099999999999</v>
      </c>
      <c r="D28" s="295">
        <f>'t12'!D28</f>
        <v>2002276</v>
      </c>
      <c r="E28" s="296">
        <f t="shared" si="4"/>
        <v>21450.85</v>
      </c>
      <c r="F28" s="315">
        <v>21466.48</v>
      </c>
      <c r="G28" s="296">
        <f t="shared" si="5"/>
        <v>-15.63</v>
      </c>
      <c r="H28" s="297">
        <f t="shared" si="6"/>
        <v>-6.9999999999999999E-4</v>
      </c>
      <c r="I28" s="281" t="str">
        <f t="shared" si="7"/>
        <v>OK</v>
      </c>
      <c r="K28" s="854"/>
    </row>
    <row r="29" spans="1:11" ht="12.75" x14ac:dyDescent="0.2">
      <c r="A29" s="112" t="str">
        <f>'t1'!A29</f>
        <v>POSIZIONE ECONOMICA B2  VIGILE DEL FUOCO</v>
      </c>
      <c r="B29" s="86" t="str">
        <f>'t1'!B29</f>
        <v>032VF1</v>
      </c>
      <c r="C29" s="294">
        <f>'t12'!C29</f>
        <v>293.56</v>
      </c>
      <c r="D29" s="295">
        <f>'t12'!D29</f>
        <v>512203</v>
      </c>
      <c r="E29" s="296">
        <f t="shared" si="4"/>
        <v>20937.580000000002</v>
      </c>
      <c r="F29" s="315">
        <v>20934.669999999998</v>
      </c>
      <c r="G29" s="296">
        <f t="shared" si="5"/>
        <v>2.91</v>
      </c>
      <c r="H29" s="297">
        <f t="shared" si="6"/>
        <v>1E-4</v>
      </c>
      <c r="I29" s="281" t="str">
        <f t="shared" si="7"/>
        <v>OK</v>
      </c>
      <c r="K29" s="854"/>
    </row>
    <row r="30" spans="1:11" ht="12.75" x14ac:dyDescent="0.2">
      <c r="A30" s="112" t="str">
        <f>'t1'!A30</f>
        <v>POSIZIONE ECONOMICA A</v>
      </c>
      <c r="B30" s="86" t="str">
        <f>'t1'!B30</f>
        <v>022000</v>
      </c>
      <c r="C30" s="294">
        <f>'t12'!C30</f>
        <v>2530.66</v>
      </c>
      <c r="D30" s="295">
        <f>'t12'!D30</f>
        <v>4002236</v>
      </c>
      <c r="E30" s="296">
        <f t="shared" si="4"/>
        <v>18977.990000000002</v>
      </c>
      <c r="F30" s="315">
        <v>18966.47</v>
      </c>
      <c r="G30" s="296">
        <f t="shared" si="5"/>
        <v>11.52</v>
      </c>
      <c r="H30" s="297">
        <f t="shared" si="6"/>
        <v>5.9999999999999995E-4</v>
      </c>
      <c r="I30" s="281" t="str">
        <f t="shared" si="7"/>
        <v>OK</v>
      </c>
      <c r="K30" s="854"/>
    </row>
    <row r="31" spans="1:11" ht="12.75" x14ac:dyDescent="0.2">
      <c r="A31" s="112" t="str">
        <f>'t1'!A31</f>
        <v>CONTRATTISTI</v>
      </c>
      <c r="B31" s="86" t="str">
        <f>'t1'!B31</f>
        <v>000061</v>
      </c>
      <c r="C31" s="294">
        <f>'t12'!C31</f>
        <v>1478.4</v>
      </c>
      <c r="D31" s="295">
        <f>'t12'!D31</f>
        <v>2752052</v>
      </c>
      <c r="E31" s="296">
        <f t="shared" si="4"/>
        <v>22338.080000000002</v>
      </c>
      <c r="F31" s="315">
        <v>0</v>
      </c>
      <c r="G31" s="296">
        <f t="shared" si="5"/>
        <v>22338.080000000002</v>
      </c>
      <c r="H31" s="297" t="str">
        <f t="shared" si="6"/>
        <v xml:space="preserve"> </v>
      </c>
      <c r="I31" s="281" t="str">
        <f t="shared" si="7"/>
        <v xml:space="preserve"> </v>
      </c>
      <c r="K31" s="854"/>
    </row>
    <row r="32" spans="1:11" ht="12.75" x14ac:dyDescent="0.2">
      <c r="A32" s="112" t="str">
        <f>'t1'!A32</f>
        <v>SEGRETARIO GENERALE CCIAA</v>
      </c>
      <c r="B32" s="86" t="str">
        <f>'t1'!B32</f>
        <v>0D0104</v>
      </c>
      <c r="C32" s="294">
        <f>'t12'!C32</f>
        <v>0</v>
      </c>
      <c r="D32" s="295">
        <f>'t12'!D32</f>
        <v>0</v>
      </c>
      <c r="E32" s="296" t="str">
        <f t="shared" si="4"/>
        <v xml:space="preserve"> </v>
      </c>
      <c r="F32" s="315">
        <v>0</v>
      </c>
      <c r="G32" s="296" t="str">
        <f>IF(E32=" "," ",E32-F32)</f>
        <v xml:space="preserve"> </v>
      </c>
      <c r="H32" s="297" t="str">
        <f>IF(E32=" "," ",IF(F32=0," ",G32/F32))</f>
        <v xml:space="preserve"> </v>
      </c>
      <c r="I32" s="281" t="str">
        <f>IF(E32=" "," ",IF(F32=0," ",IF(ABS(H32)&gt;0.02,"ERRORE","OK")))</f>
        <v xml:space="preserve"> </v>
      </c>
    </row>
    <row r="33" spans="1:9" ht="12.75" x14ac:dyDescent="0.2">
      <c r="A33" s="112" t="str">
        <f>'t1'!A33</f>
        <v>COLLABORATORE A TEMPO DETERMINATO</v>
      </c>
      <c r="B33" s="86" t="str">
        <f>'t1'!B33</f>
        <v>000096</v>
      </c>
      <c r="C33" s="294">
        <f>'t12'!C33</f>
        <v>124.64</v>
      </c>
      <c r="D33" s="295">
        <f>'t12'!D33</f>
        <v>578371</v>
      </c>
      <c r="E33" s="296">
        <f t="shared" si="4"/>
        <v>55683.99</v>
      </c>
      <c r="F33" s="315">
        <v>0</v>
      </c>
      <c r="G33" s="296">
        <f>IF(E33=" "," ",E33-F33)</f>
        <v>55683.99</v>
      </c>
      <c r="H33" s="297" t="str">
        <f>IF(E33=" "," ",IF(F33=0," ",G33/F33))</f>
        <v xml:space="preserve"> </v>
      </c>
      <c r="I33" s="281" t="str">
        <f>IF(E33=" "," ",IF(F33=0," ",IF(ABS(H33)&gt;0.02,"ERRORE","OK")))</f>
        <v xml:space="preserve"> </v>
      </c>
    </row>
  </sheetData>
  <sheetProtection algorithmName="SHA-512" hashValue="kKZr3pB2imgASUEx6pnGiaQNxP8icaDiTt9jY98BNlNyj9Us0csSd6MJDQciZoqjo/llz8Nx69ekT5NP+3Z9Yw==" saltValue="OXnloc9CkhB7MWTCQBoS3g==" spinCount="100000" sheet="1" formatColumns="0" selectLockedCells="1" selectUnlockedCells="1"/>
  <mergeCells count="2">
    <mergeCell ref="A1:H1"/>
    <mergeCell ref="D2:I2"/>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80" orientation="landscape" horizontalDpi="0" verticalDpi="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6">
    <pageSetUpPr fitToPage="1"/>
  </sheetPr>
  <dimension ref="A1:P33"/>
  <sheetViews>
    <sheetView showGridLines="0" zoomScale="80" zoomScaleNormal="80" workbookViewId="0">
      <pane ySplit="5" topLeftCell="A6" activePane="bottomLeft" state="frozen"/>
      <selection pane="bottomLeft" activeCell="AL1" sqref="AL1"/>
    </sheetView>
  </sheetViews>
  <sheetFormatPr defaultColWidth="8.6640625" defaultRowHeight="11.25" x14ac:dyDescent="0.2"/>
  <cols>
    <col min="1" max="1" width="3" style="3" customWidth="1"/>
    <col min="2" max="2" width="8.5" style="3" customWidth="1"/>
    <col min="3" max="3" width="67.1640625" style="3" customWidth="1"/>
    <col min="4" max="5" width="45.6640625" style="2" customWidth="1"/>
    <col min="6" max="12" width="8.6640625" style="3"/>
    <col min="13" max="13" width="8.6640625" style="3" customWidth="1"/>
    <col min="14" max="16" width="8.6640625" style="2" hidden="1" customWidth="1"/>
    <col min="17" max="17" width="8.6640625" style="3" customWidth="1"/>
    <col min="18" max="16384" width="8.6640625" style="3"/>
  </cols>
  <sheetData>
    <row r="1" spans="1:16" ht="43.5" customHeight="1" x14ac:dyDescent="0.2">
      <c r="A1" s="1155" t="str">
        <f>'t1'!A1</f>
        <v>REGIONE VALLE D'AOSTA - anno 2024</v>
      </c>
      <c r="B1" s="1155"/>
      <c r="C1" s="1155"/>
      <c r="D1" s="1155"/>
      <c r="E1" s="1155"/>
    </row>
    <row r="2" spans="1:16" ht="21" customHeight="1" x14ac:dyDescent="0.25">
      <c r="A2" s="168" t="s">
        <v>961</v>
      </c>
      <c r="B2" s="168"/>
      <c r="C2" s="168"/>
    </row>
    <row r="3" spans="1:16" ht="21" customHeight="1" thickBot="1" x14ac:dyDescent="0.3">
      <c r="A3" s="1181"/>
      <c r="B3" s="168"/>
      <c r="C3" s="168"/>
    </row>
    <row r="4" spans="1:16" ht="49.5" customHeight="1" thickBot="1" x14ac:dyDescent="0.25">
      <c r="A4" s="889" t="s">
        <v>684</v>
      </c>
      <c r="B4" s="890"/>
      <c r="C4" s="890"/>
      <c r="D4" s="865" t="s">
        <v>436</v>
      </c>
      <c r="E4" s="865" t="s">
        <v>936</v>
      </c>
    </row>
    <row r="5" spans="1:16" ht="70.349999999999994" customHeight="1" thickBot="1" x14ac:dyDescent="0.25">
      <c r="A5" s="891" t="s">
        <v>937</v>
      </c>
      <c r="B5" s="890"/>
      <c r="C5" s="890"/>
      <c r="D5" s="1182" t="s">
        <v>912</v>
      </c>
      <c r="E5" s="865" t="str">
        <f ca="1">IF(E6&lt;=10000,"OK",IF(AND(E11&lt;50,E22&lt;50),"OK","Giustificare: la retribuzione di posizione esposta in T15 e/o nella sezione ORG della SICI non appare coerente con quanto riportato in T13"))</f>
        <v>OK</v>
      </c>
    </row>
    <row r="6" spans="1:16" s="87" customFormat="1" ht="20.100000000000001" customHeight="1" x14ac:dyDescent="0.2">
      <c r="A6" s="1160" t="s">
        <v>899</v>
      </c>
      <c r="B6" s="1161" t="s">
        <v>938</v>
      </c>
      <c r="C6" s="1161"/>
      <c r="D6" s="1186"/>
      <c r="E6" s="1195" t="str">
        <f ca="1">IF(SUMIF('t13'!$CA:$CA,E27,INDIRECT("'t13'!$"&amp;$O6&amp;":$"&amp;$O6))&lt;=10000,"&lt;= 10.000",SUMIF('t13'!$CA:$CA,E27,INDIRECT("'t13'!$"&amp;$O6&amp;":$"&amp;$O6)))</f>
        <v>&lt;= 10.000</v>
      </c>
      <c r="N6" s="1183" t="s">
        <v>288</v>
      </c>
      <c r="O6" s="892" t="str" cm="1">
        <f t="array" aca="1" ref="O6" ca="1">LEFT(RIGHT(CELL("indirizzo",INDEX('t13'!$C$5:$Z$5,MATCH(N6,'t13'!$C$5:$Z$5,0))),3),1)</f>
        <v>F</v>
      </c>
      <c r="P6" s="892"/>
    </row>
    <row r="7" spans="1:16" s="87" customFormat="1" ht="20.100000000000001" customHeight="1" x14ac:dyDescent="0.15">
      <c r="A7" s="1165" t="s">
        <v>901</v>
      </c>
      <c r="B7" s="1161" t="s">
        <v>939</v>
      </c>
      <c r="C7" s="1166"/>
      <c r="D7" s="1187"/>
      <c r="E7" s="1195">
        <f ca="1">IF(SUM(E6)=0,0,E6/12*13)</f>
        <v>0</v>
      </c>
      <c r="N7" s="892"/>
      <c r="O7" s="892"/>
      <c r="P7" s="892"/>
    </row>
    <row r="8" spans="1:16" s="893" customFormat="1" ht="20.100000000000001" customHeight="1" x14ac:dyDescent="0.15">
      <c r="A8" s="1196"/>
      <c r="B8" s="1184" t="s">
        <v>940</v>
      </c>
      <c r="C8" s="1185"/>
      <c r="D8" s="1187"/>
      <c r="E8" s="1197" t="s">
        <v>808</v>
      </c>
      <c r="N8" s="894"/>
      <c r="O8" s="894"/>
      <c r="P8" s="894"/>
    </row>
    <row r="9" spans="1:16" ht="20.100000000000001" customHeight="1" x14ac:dyDescent="0.2">
      <c r="A9" s="1198" t="s">
        <v>903</v>
      </c>
      <c r="B9" s="1174" t="s">
        <v>941</v>
      </c>
      <c r="C9" s="1166"/>
      <c r="D9" s="1187"/>
      <c r="E9" s="1195">
        <f ca="1">IF(E7=0,0,SUMIF(INDIRECT(E28&amp;"!$F:$F"),E8,INDIRECT(E28&amp;"!$G:$G")))</f>
        <v>0</v>
      </c>
    </row>
    <row r="10" spans="1:16" ht="20.100000000000001" customHeight="1" x14ac:dyDescent="0.2">
      <c r="A10" s="1198" t="s">
        <v>905</v>
      </c>
      <c r="B10" s="1174" t="s">
        <v>942</v>
      </c>
      <c r="C10" s="1188"/>
      <c r="D10" s="1187"/>
      <c r="E10" s="1195">
        <f ca="1">IF(E7=0,0,ABS(E9-E7))</f>
        <v>0</v>
      </c>
    </row>
    <row r="11" spans="1:16" ht="20.100000000000001" customHeight="1" x14ac:dyDescent="0.2">
      <c r="A11" s="1198" t="s">
        <v>907</v>
      </c>
      <c r="B11" s="1174" t="s">
        <v>943</v>
      </c>
      <c r="C11" s="1188"/>
      <c r="D11" s="1189"/>
      <c r="E11" s="1199">
        <f ca="1">IF(E7=0,0,ROUND(E10/E7*100,1))</f>
        <v>0</v>
      </c>
    </row>
    <row r="12" spans="1:16" ht="20.100000000000001" customHeight="1" x14ac:dyDescent="0.2">
      <c r="A12" s="1198"/>
      <c r="B12" s="1174" t="s">
        <v>944</v>
      </c>
      <c r="C12" s="1188"/>
      <c r="D12" s="1187"/>
      <c r="E12" s="1195">
        <f>VLOOKUP(O12,'SICI(2)'!$A:$F,6,FALSE)</f>
        <v>3</v>
      </c>
      <c r="N12" s="887"/>
      <c r="O12" s="887" t="s">
        <v>705</v>
      </c>
      <c r="P12" s="887"/>
    </row>
    <row r="13" spans="1:16" ht="20.100000000000001" customHeight="1" x14ac:dyDescent="0.2">
      <c r="A13" s="1198"/>
      <c r="B13" s="1174" t="s">
        <v>945</v>
      </c>
      <c r="C13" s="1188"/>
      <c r="D13" s="1187"/>
      <c r="E13" s="1195">
        <f>VLOOKUP(O13,'SICI(2)'!$A:$F,6,FALSE)</f>
        <v>18000</v>
      </c>
      <c r="N13" s="887"/>
      <c r="O13" s="887" t="s">
        <v>711</v>
      </c>
      <c r="P13" s="887"/>
    </row>
    <row r="14" spans="1:16" ht="20.100000000000001" customHeight="1" x14ac:dyDescent="0.2">
      <c r="A14" s="1198"/>
      <c r="B14" s="1174" t="s">
        <v>946</v>
      </c>
      <c r="C14" s="1188"/>
      <c r="D14" s="1187"/>
      <c r="E14" s="1195">
        <f>VLOOKUP(O14,'SICI(2)'!$A:$F,6,FALSE)</f>
        <v>17</v>
      </c>
      <c r="N14" s="887"/>
      <c r="O14" s="887" t="s">
        <v>707</v>
      </c>
      <c r="P14" s="887"/>
    </row>
    <row r="15" spans="1:16" ht="20.100000000000001" customHeight="1" x14ac:dyDescent="0.2">
      <c r="A15" s="1198"/>
      <c r="B15" s="1174" t="s">
        <v>947</v>
      </c>
      <c r="C15" s="1188"/>
      <c r="D15" s="1187"/>
      <c r="E15" s="1195">
        <f>VLOOKUP(O15,'SICI(2)'!$A:$F,6,FALSE)</f>
        <v>10000</v>
      </c>
      <c r="N15" s="887"/>
      <c r="O15" s="887" t="s">
        <v>713</v>
      </c>
      <c r="P15" s="887"/>
    </row>
    <row r="16" spans="1:16" ht="20.100000000000001" customHeight="1" x14ac:dyDescent="0.2">
      <c r="A16" s="1198"/>
      <c r="B16" s="1174" t="s">
        <v>948</v>
      </c>
      <c r="C16" s="1188"/>
      <c r="D16" s="1187"/>
      <c r="E16" s="1195">
        <f>VLOOKUP(O16,'SICI(2)'!$A:$F,6,FALSE)</f>
        <v>26</v>
      </c>
      <c r="N16" s="887"/>
      <c r="O16" s="887" t="s">
        <v>709</v>
      </c>
      <c r="P16" s="887"/>
    </row>
    <row r="17" spans="1:16" ht="20.100000000000001" customHeight="1" x14ac:dyDescent="0.2">
      <c r="A17" s="1198"/>
      <c r="B17" s="1174" t="s">
        <v>949</v>
      </c>
      <c r="C17" s="1188"/>
      <c r="D17" s="1187"/>
      <c r="E17" s="1195">
        <f>VLOOKUP(O17,'SICI(2)'!$A:$F,6,FALSE)</f>
        <v>14000</v>
      </c>
      <c r="N17" s="887"/>
      <c r="O17" s="887" t="s">
        <v>715</v>
      </c>
      <c r="P17" s="887"/>
    </row>
    <row r="18" spans="1:16" ht="20.100000000000001" customHeight="1" x14ac:dyDescent="0.2">
      <c r="A18" s="1198"/>
      <c r="B18" s="1174" t="s">
        <v>950</v>
      </c>
      <c r="C18" s="1188"/>
      <c r="D18" s="1187"/>
      <c r="E18" s="1195">
        <f>VLOOKUP(O18,'SICI(2)'!$A:$F,6,FALSE)</f>
        <v>0</v>
      </c>
      <c r="N18" s="887"/>
      <c r="O18" s="887" t="s">
        <v>965</v>
      </c>
      <c r="P18" s="887"/>
    </row>
    <row r="19" spans="1:16" ht="20.100000000000001" customHeight="1" x14ac:dyDescent="0.2">
      <c r="A19" s="1198"/>
      <c r="B19" s="1174" t="s">
        <v>951</v>
      </c>
      <c r="C19" s="1188"/>
      <c r="D19" s="1187"/>
      <c r="E19" s="1195">
        <f>VLOOKUP(O19,'SICI(2)'!$A:$F,6,FALSE)</f>
        <v>0</v>
      </c>
      <c r="N19" s="887"/>
      <c r="O19" s="887" t="s">
        <v>964</v>
      </c>
      <c r="P19" s="887"/>
    </row>
    <row r="20" spans="1:16" ht="20.100000000000001" customHeight="1" x14ac:dyDescent="0.2">
      <c r="A20" s="1198" t="s">
        <v>952</v>
      </c>
      <c r="B20" s="1174" t="s">
        <v>953</v>
      </c>
      <c r="C20" s="1188"/>
      <c r="D20" s="1187"/>
      <c r="E20" s="1195">
        <f>E12*E13+E14*E15+E16*E17+E18*E19</f>
        <v>588000</v>
      </c>
    </row>
    <row r="21" spans="1:16" ht="20.100000000000001" customHeight="1" x14ac:dyDescent="0.2">
      <c r="A21" s="1198" t="s">
        <v>954</v>
      </c>
      <c r="B21" s="1174" t="s">
        <v>955</v>
      </c>
      <c r="C21" s="1188"/>
      <c r="D21" s="1187"/>
      <c r="E21" s="1195">
        <f ca="1">IF(E7=0,0,ABS(E20-E7))</f>
        <v>0</v>
      </c>
    </row>
    <row r="22" spans="1:16" ht="20.100000000000001" customHeight="1" thickBot="1" x14ac:dyDescent="0.25">
      <c r="A22" s="1200" t="s">
        <v>956</v>
      </c>
      <c r="B22" s="1201" t="s">
        <v>957</v>
      </c>
      <c r="C22" s="1202"/>
      <c r="D22" s="1203"/>
      <c r="E22" s="1204">
        <f ca="1">IF(E7=0,0,ROUND(E21/E7*100,1))</f>
        <v>0</v>
      </c>
    </row>
    <row r="24" spans="1:16" x14ac:dyDescent="0.2">
      <c r="A24" s="824" t="s">
        <v>962</v>
      </c>
    </row>
    <row r="25" spans="1:16" x14ac:dyDescent="0.2">
      <c r="A25" s="824" t="s">
        <v>963</v>
      </c>
    </row>
    <row r="26" spans="1:16" x14ac:dyDescent="0.2">
      <c r="A26" s="824" t="s">
        <v>958</v>
      </c>
    </row>
    <row r="27" spans="1:16" x14ac:dyDescent="0.2">
      <c r="A27" s="1342"/>
      <c r="B27" s="740"/>
      <c r="C27" s="740"/>
      <c r="D27" s="1190" t="s">
        <v>332</v>
      </c>
      <c r="E27" s="1190" t="s">
        <v>298</v>
      </c>
    </row>
    <row r="28" spans="1:16" x14ac:dyDescent="0.2">
      <c r="A28" s="1342"/>
      <c r="B28" s="740"/>
      <c r="C28" s="740"/>
      <c r="D28" s="1191" t="str">
        <f>"'T15(1)'"</f>
        <v>'T15(1)'</v>
      </c>
      <c r="E28" s="1191" t="str">
        <f>"'T15(2)'"</f>
        <v>'T15(2)'</v>
      </c>
    </row>
    <row r="29" spans="1:16" x14ac:dyDescent="0.2">
      <c r="A29" s="1342"/>
      <c r="B29" s="740"/>
      <c r="C29" s="740"/>
      <c r="D29" s="1190"/>
      <c r="E29" s="1190"/>
    </row>
    <row r="30" spans="1:16" x14ac:dyDescent="0.2">
      <c r="A30" s="1342"/>
      <c r="B30" s="740"/>
      <c r="C30" s="740"/>
      <c r="D30" s="1190"/>
      <c r="E30" s="1190"/>
    </row>
    <row r="31" spans="1:16" x14ac:dyDescent="0.2">
      <c r="A31" s="1342"/>
      <c r="B31" s="740"/>
      <c r="C31" s="740"/>
      <c r="D31" s="1190"/>
      <c r="E31" s="1190"/>
    </row>
    <row r="32" spans="1:16" x14ac:dyDescent="0.2">
      <c r="B32" s="740"/>
      <c r="C32" s="740"/>
      <c r="D32" s="1190"/>
      <c r="E32" s="1190"/>
    </row>
    <row r="33" spans="2:5" x14ac:dyDescent="0.2">
      <c r="B33" s="740"/>
      <c r="C33" s="740"/>
      <c r="D33" s="1190"/>
      <c r="E33" s="1190"/>
    </row>
  </sheetData>
  <sheetProtection algorithmName="SHA-512" hashValue="7R8TvMAGqpCZYbo6uob5164VMVU6Vq0sMZLpEQN4aaIydrxxhYwBinBNeuNlxzKUCG4Hs14x4IABDZYL1r3FYg==" saltValue="2fyNDuLoM5XOh97aBqm91A==" spinCount="100000" sheet="1" formatColumns="0" selectLockedCells="1"/>
  <conditionalFormatting sqref="D11">
    <cfRule type="cellIs" dxfId="19" priority="15" stopIfTrue="1" operator="greaterThan">
      <formula>49.99</formula>
    </cfRule>
    <cfRule type="cellIs" dxfId="18" priority="16" stopIfTrue="1" operator="greaterThan">
      <formula>99.9</formula>
    </cfRule>
    <cfRule type="cellIs" dxfId="17" priority="17" stopIfTrue="1" operator="greaterThan">
      <formula>100</formula>
    </cfRule>
    <cfRule type="cellIs" dxfId="16" priority="18" stopIfTrue="1" operator="greaterThan">
      <formula>100</formula>
    </cfRule>
  </conditionalFormatting>
  <conditionalFormatting sqref="D11:E11">
    <cfRule type="cellIs" dxfId="15" priority="1" stopIfTrue="1" operator="greaterThan">
      <formula>49.9</formula>
    </cfRule>
    <cfRule type="cellIs" dxfId="14" priority="2" stopIfTrue="1" operator="greaterThan">
      <formula>99.99</formula>
    </cfRule>
    <cfRule type="cellIs" dxfId="13" priority="7" stopIfTrue="1" operator="greaterThan">
      <formula>100</formula>
    </cfRule>
  </conditionalFormatting>
  <conditionalFormatting sqref="D22:E22">
    <cfRule type="cellIs" dxfId="12" priority="8" stopIfTrue="1" operator="greaterThan">
      <formula>49.9</formula>
    </cfRule>
    <cfRule type="cellIs" dxfId="11" priority="9" stopIfTrue="1" operator="greaterThan">
      <formula>99.99</formula>
    </cfRule>
    <cfRule type="cellIs" dxfId="10" priority="10" stopIfTrue="1" operator="greaterThan">
      <formula>100</formula>
    </cfRule>
    <cfRule type="cellIs" dxfId="9" priority="11" stopIfTrue="1" operator="greaterThan">
      <formula>49.99</formula>
    </cfRule>
    <cfRule type="cellIs" dxfId="8" priority="12" stopIfTrue="1" operator="greaterThan">
      <formula>99.9</formula>
    </cfRule>
    <cfRule type="cellIs" dxfId="7" priority="13" stopIfTrue="1" operator="greaterThan">
      <formula>100</formula>
    </cfRule>
    <cfRule type="cellIs" dxfId="6" priority="14" stopIfTrue="1" operator="greaterThan">
      <formula>100</formula>
    </cfRule>
  </conditionalFormatting>
  <conditionalFormatting sqref="E11">
    <cfRule type="cellIs" dxfId="5" priority="3" stopIfTrue="1" operator="greaterThan">
      <formula>100</formula>
    </cfRule>
    <cfRule type="cellIs" dxfId="4" priority="4" stopIfTrue="1" operator="greaterThan">
      <formula>49.99</formula>
    </cfRule>
    <cfRule type="cellIs" dxfId="3" priority="5" stopIfTrue="1" operator="greaterThan">
      <formula>99.9</formula>
    </cfRule>
    <cfRule type="cellIs" dxfId="2" priority="6" stopIfTrue="1" operator="greaterThan">
      <formula>100</formula>
    </cfRule>
  </conditionalFormatting>
  <printOptions horizontalCentered="1"/>
  <pageMargins left="0.2" right="0.2" top="0.19685039370078741" bottom="0.15748031496062992" header="0.15748031496062992" footer="0.15748031496062992"/>
  <pageSetup paperSize="9" scale="99"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7">
    <pageSetUpPr fitToPage="1"/>
  </sheetPr>
  <dimension ref="A1:N31"/>
  <sheetViews>
    <sheetView showGridLines="0" zoomScale="90" workbookViewId="0">
      <pane ySplit="5" topLeftCell="A14" activePane="bottomLeft" state="frozen"/>
      <selection activeCell="A2" sqref="A2"/>
      <selection pane="bottomLeft" activeCell="B2" sqref="B2:G2"/>
    </sheetView>
  </sheetViews>
  <sheetFormatPr defaultRowHeight="10.5" x14ac:dyDescent="0.15"/>
  <cols>
    <col min="1" max="1" width="71.33203125" style="356" customWidth="1"/>
    <col min="2" max="2" width="8" style="356" customWidth="1"/>
    <col min="3" max="3" width="14.1640625" style="356" customWidth="1"/>
    <col min="4" max="4" width="15.33203125" style="356" customWidth="1"/>
    <col min="5" max="5" width="25" style="356" bestFit="1" customWidth="1"/>
    <col min="6" max="6" width="17.33203125" style="356" customWidth="1"/>
    <col min="7" max="7" width="17.1640625" style="356" customWidth="1"/>
    <col min="8" max="14" width="9.33203125" style="356" customWidth="1"/>
  </cols>
  <sheetData>
    <row r="1" spans="1:14" s="3" customFormat="1" ht="26.25" customHeight="1" x14ac:dyDescent="0.2">
      <c r="A1" s="1486" t="str">
        <f>'t1'!A1:J1</f>
        <v>REGIONE VALLE D'AOSTA - anno 2024</v>
      </c>
      <c r="B1" s="1486"/>
      <c r="C1" s="1486"/>
      <c r="D1" s="1486"/>
      <c r="E1" s="1486"/>
      <c r="F1" s="273"/>
      <c r="G1" s="270"/>
      <c r="H1" s="273"/>
      <c r="M1" s="355"/>
    </row>
    <row r="2" spans="1:14" s="3" customFormat="1" ht="21" customHeight="1" x14ac:dyDescent="0.2">
      <c r="B2" s="1573"/>
      <c r="C2" s="1573"/>
      <c r="D2" s="1573"/>
      <c r="E2" s="1573"/>
      <c r="F2" s="1573"/>
      <c r="G2" s="1573"/>
      <c r="J2" s="274"/>
      <c r="M2" s="355"/>
    </row>
    <row r="3" spans="1:14" s="3" customFormat="1" ht="21" customHeight="1" thickBot="1" x14ac:dyDescent="0.3">
      <c r="A3" s="277" t="s">
        <v>256</v>
      </c>
      <c r="B3" s="2"/>
    </row>
    <row r="4" spans="1:14" ht="20.25" customHeight="1" thickBot="1" x14ac:dyDescent="0.3">
      <c r="A4" s="286" t="s">
        <v>257</v>
      </c>
      <c r="B4" s="1601">
        <f>'t12'!J34+'t13'!X34</f>
        <v>87317526</v>
      </c>
      <c r="C4" s="1602"/>
      <c r="D4" s="1602"/>
      <c r="E4" s="1602"/>
      <c r="F4" s="1602"/>
      <c r="G4" s="1603"/>
    </row>
    <row r="5" spans="1:14" ht="85.5" customHeight="1" thickBot="1" x14ac:dyDescent="0.2">
      <c r="A5" s="189" t="s">
        <v>104</v>
      </c>
      <c r="B5" s="190" t="s">
        <v>242</v>
      </c>
      <c r="C5" s="190" t="s">
        <v>243</v>
      </c>
      <c r="D5" s="191" t="s">
        <v>244</v>
      </c>
      <c r="E5" s="1604" t="s">
        <v>240</v>
      </c>
      <c r="F5" s="1605"/>
      <c r="G5" s="1606"/>
      <c r="H5" s="355"/>
      <c r="I5" s="355"/>
      <c r="J5" s="355"/>
      <c r="K5" s="355"/>
      <c r="L5" s="355"/>
      <c r="M5" s="355"/>
      <c r="N5" s="355"/>
    </row>
    <row r="6" spans="1:14" ht="19.5" customHeight="1" x14ac:dyDescent="0.2">
      <c r="A6" s="188" t="str">
        <f>'t14'!A4</f>
        <v>ASSEGNI PER IL NUCLEO FAMILIARE</v>
      </c>
      <c r="B6" s="282" t="str">
        <f>'t14'!B4</f>
        <v>L005</v>
      </c>
      <c r="C6" s="278">
        <f>'t14'!D4</f>
        <v>2331</v>
      </c>
      <c r="D6" s="357">
        <f t="shared" ref="D6:D11" si="0">IF($B$4=0," ",(IF(C6=0," ",C6/$B$4)))</f>
        <v>0</v>
      </c>
      <c r="E6" s="1613" t="str">
        <f>IF($B$4=0,"TABELLE 12 -13 ASSENTI",(IF('t12'!$J$34=0,"TAB. 12 ASSENTE",(IF('t13'!X34=0,"TAB. 13 ASSENTE"," ")))))</f>
        <v xml:space="preserve"> </v>
      </c>
      <c r="F6" s="1614"/>
      <c r="G6" s="1615"/>
      <c r="H6" s="355"/>
      <c r="I6" s="355"/>
      <c r="J6" s="355"/>
      <c r="K6" s="355"/>
      <c r="L6" s="355"/>
      <c r="M6" s="355"/>
      <c r="N6" s="355"/>
    </row>
    <row r="7" spans="1:14" ht="19.5" customHeight="1" x14ac:dyDescent="0.2">
      <c r="A7" s="188" t="str">
        <f>'t14'!A5</f>
        <v xml:space="preserve">GESTIONE MENSE </v>
      </c>
      <c r="B7" s="282" t="str">
        <f>'t14'!B5</f>
        <v>L010</v>
      </c>
      <c r="C7" s="279">
        <f>'t14'!D5</f>
        <v>366876</v>
      </c>
      <c r="D7" s="358">
        <f t="shared" si="0"/>
        <v>4.1999999999999997E-3</v>
      </c>
      <c r="E7" s="1607"/>
      <c r="F7" s="1608"/>
      <c r="G7" s="1609"/>
      <c r="H7" s="355"/>
      <c r="I7" s="355"/>
      <c r="J7" s="355"/>
      <c r="K7" s="355"/>
      <c r="L7" s="355"/>
      <c r="M7" s="355"/>
      <c r="N7" s="355"/>
    </row>
    <row r="8" spans="1:14" ht="19.5" customHeight="1" x14ac:dyDescent="0.2">
      <c r="A8" s="188" t="str">
        <f>'t14'!A6</f>
        <v>EROGAZIONE BUONI PASTO</v>
      </c>
      <c r="B8" s="282" t="str">
        <f>'t14'!B6</f>
        <v>L011</v>
      </c>
      <c r="C8" s="279">
        <f>'t14'!D6</f>
        <v>1449829</v>
      </c>
      <c r="D8" s="358">
        <f t="shared" si="0"/>
        <v>1.66E-2</v>
      </c>
      <c r="E8" s="1607"/>
      <c r="F8" s="1608"/>
      <c r="G8" s="1609"/>
      <c r="H8" s="355"/>
      <c r="I8" s="355"/>
      <c r="J8" s="355"/>
      <c r="K8" s="355"/>
      <c r="L8" s="355"/>
      <c r="M8" s="355"/>
      <c r="N8" s="355"/>
    </row>
    <row r="9" spans="1:14" ht="19.5" customHeight="1" x14ac:dyDescent="0.2">
      <c r="A9" s="188" t="str">
        <f>'t14'!A7</f>
        <v>FORMAZIONE DEL PERSONALE</v>
      </c>
      <c r="B9" s="282" t="str">
        <f>'t14'!B7</f>
        <v>L020</v>
      </c>
      <c r="C9" s="279">
        <f>'t14'!D7</f>
        <v>356407</v>
      </c>
      <c r="D9" s="358">
        <f t="shared" si="0"/>
        <v>4.1000000000000003E-3</v>
      </c>
      <c r="E9" s="1607"/>
      <c r="F9" s="1608"/>
      <c r="G9" s="1609"/>
      <c r="H9" s="355"/>
      <c r="I9" s="355"/>
      <c r="J9" s="355"/>
      <c r="K9" s="355"/>
      <c r="L9" s="355"/>
      <c r="M9" s="355"/>
      <c r="N9" s="355"/>
    </row>
    <row r="10" spans="1:14" ht="19.5" customHeight="1" x14ac:dyDescent="0.2">
      <c r="A10" s="188" t="str">
        <f>'t14'!A8</f>
        <v>BENESSERE DEL PERSONALE</v>
      </c>
      <c r="B10" s="282" t="str">
        <f>'t14'!B8</f>
        <v>L090</v>
      </c>
      <c r="C10" s="279">
        <f>'t14'!D8</f>
        <v>7485</v>
      </c>
      <c r="D10" s="358">
        <f t="shared" si="0"/>
        <v>1E-4</v>
      </c>
      <c r="E10" s="1607"/>
      <c r="F10" s="1608"/>
      <c r="G10" s="1609"/>
      <c r="H10" s="355"/>
      <c r="I10" s="355"/>
      <c r="J10" s="355"/>
      <c r="K10" s="355"/>
      <c r="L10" s="355"/>
      <c r="M10" s="355"/>
      <c r="N10" s="355"/>
    </row>
    <row r="11" spans="1:14" ht="19.5" customHeight="1" thickBot="1" x14ac:dyDescent="0.25">
      <c r="A11" s="188" t="str">
        <f>'t14'!A9</f>
        <v>EQUO INDENNIZZO AL PERSONALE</v>
      </c>
      <c r="B11" s="282" t="str">
        <f>'t14'!B9</f>
        <v>L100</v>
      </c>
      <c r="C11" s="279">
        <f>'t14'!D9</f>
        <v>0</v>
      </c>
      <c r="D11" s="359" t="str">
        <f t="shared" si="0"/>
        <v xml:space="preserve"> </v>
      </c>
      <c r="E11" s="1610"/>
      <c r="F11" s="1611"/>
      <c r="G11" s="1612"/>
      <c r="H11" s="355"/>
      <c r="I11" s="355"/>
      <c r="J11" s="355"/>
      <c r="K11" s="355"/>
      <c r="L11" s="355"/>
      <c r="M11" s="355"/>
      <c r="N11" s="355"/>
    </row>
    <row r="12" spans="1:14" ht="30.75" customHeight="1" thickBot="1" x14ac:dyDescent="0.25">
      <c r="A12" s="188" t="str">
        <f>'t14'!A10</f>
        <v>SOMME CORRISPOSTE AD AGENZIA DI SOMMINISTRAZIONE(INTERINALI)</v>
      </c>
      <c r="B12" s="282" t="str">
        <f>'t14'!B10</f>
        <v>L105</v>
      </c>
      <c r="C12" s="279">
        <f>'t14'!D10</f>
        <v>0</v>
      </c>
      <c r="D12" s="360" t="str">
        <f>IF($B$4=0," ",IF(C12=0," ",C12/$B$4))</f>
        <v xml:space="preserve"> </v>
      </c>
      <c r="E12" s="1616" t="str">
        <f>(IF(AND(C12=0,C24&gt;0),"P062 VALORIZZATA; INSERIRE SOMME SPETTANTI ALL'AGENZIA (L105)",IF(AND(C12&gt;0,C24&gt;0,C12&gt;(C24/100*30)),"ATTENZIONE: la voce L105 supera il 30% della voce P062. Il salvataggio produrrà l'INCONGRUENZA 1 che dovrà essere giustificata"," ")))</f>
        <v xml:space="preserve"> </v>
      </c>
      <c r="F12" s="1617"/>
      <c r="G12" s="1618"/>
      <c r="H12" s="355"/>
      <c r="I12" s="355"/>
      <c r="J12" s="355"/>
      <c r="K12" s="355"/>
      <c r="L12" s="355"/>
      <c r="M12" s="355"/>
      <c r="N12" s="355"/>
    </row>
    <row r="13" spans="1:14" ht="19.5" customHeight="1" thickBot="1" x14ac:dyDescent="0.25">
      <c r="A13" s="188" t="str">
        <f>'t14'!A11</f>
        <v>COPERTURE ASSICURATIVE</v>
      </c>
      <c r="B13" s="282" t="str">
        <f>'t14'!B11</f>
        <v>L107</v>
      </c>
      <c r="C13" s="279">
        <f>'t14'!D11</f>
        <v>529970</v>
      </c>
      <c r="D13" s="357">
        <f t="shared" ref="D13:D21" si="1">IF($B$4=0," ",(IF(C13=0," ",C13/$B$4)))</f>
        <v>6.1000000000000004E-3</v>
      </c>
      <c r="E13" s="1619" t="str">
        <f>IF($B$4=0,"TABELLE 12 -13 ASSENTI",(IF('t12'!$J$34=0,"TAB. 12 ASSENTE",(IF('t13'!$X$34=0,"TAB. 13 ASSENTE"," ")))))</f>
        <v xml:space="preserve"> </v>
      </c>
      <c r="F13" s="1620" t="s">
        <v>314</v>
      </c>
      <c r="G13" s="1621" t="s">
        <v>314</v>
      </c>
      <c r="H13" s="355"/>
      <c r="I13" s="355"/>
      <c r="J13" s="355"/>
      <c r="K13" s="355"/>
      <c r="L13" s="355"/>
      <c r="M13" s="355"/>
      <c r="N13" s="355"/>
    </row>
    <row r="14" spans="1:14" ht="41.25" customHeight="1" thickBot="1" x14ac:dyDescent="0.25">
      <c r="A14" s="188" t="str">
        <f>'t14'!A12</f>
        <v xml:space="preserve">CONTRATTI DI COLLABORAZIONE PROFESSIONALE </v>
      </c>
      <c r="B14" s="282" t="str">
        <f>'t14'!B12</f>
        <v>L111</v>
      </c>
      <c r="C14" s="279">
        <f>'t14'!D12</f>
        <v>118684</v>
      </c>
      <c r="D14" s="358">
        <f t="shared" si="1"/>
        <v>1.4E-3</v>
      </c>
      <c r="E14" s="1616" t="str">
        <f>IF(SI_1!G56=0,IF('t14'!D12=0," ","MANCA IL NUMERO DEI CONTRATTI NELLA SI_1"),IF('t14'!D12=0,"VERIFICARE SE INSERIRE LE SPESE"," "))</f>
        <v xml:space="preserve"> </v>
      </c>
      <c r="F14" s="1620"/>
      <c r="G14" s="298" t="str">
        <f>IF(AND(C14&gt;0,SI_1!G56&gt;0),"VALORE MEDIO UNITARIO DI SPESA =  "&amp;C14/SI_1!G56," ")</f>
        <v>VALORE MEDIO UNITARIO DI SPESA =  5651,61904761905</v>
      </c>
      <c r="H14" s="355"/>
      <c r="I14" s="355"/>
      <c r="J14" s="355"/>
      <c r="K14" s="355"/>
      <c r="L14" s="355"/>
      <c r="M14" s="355"/>
      <c r="N14" s="355"/>
    </row>
    <row r="15" spans="1:14" ht="41.25" customHeight="1" thickBot="1" x14ac:dyDescent="0.25">
      <c r="A15" s="188" t="str">
        <f>'t14'!A13</f>
        <v xml:space="preserve">INCARICHI DI STUDIO/RICERCA/CONSULENZA </v>
      </c>
      <c r="B15" s="282" t="str">
        <f>'t14'!B13</f>
        <v>L112</v>
      </c>
      <c r="C15" s="279">
        <f>'t14'!D13</f>
        <v>502102</v>
      </c>
      <c r="D15" s="358">
        <f t="shared" si="1"/>
        <v>5.7999999999999996E-3</v>
      </c>
      <c r="E15" s="1616" t="str">
        <f>IF(SI_1!G59=0,IF('t14'!D13=0," ","MANCA IL NUMERO DEI CONTRATTI NELLA SI_1"),IF('t14'!D13=0,"VERIFICARE SE INSERIRE LE SPESE"," "))</f>
        <v xml:space="preserve"> </v>
      </c>
      <c r="F15" s="1620"/>
      <c r="G15" s="298" t="str">
        <f>IF(AND(C15&gt;0,SI_1!G59&gt;0),"VALORE MEDIO UNITARIO DI SPESA =  "&amp;C15/SI_1!G59," ")</f>
        <v>VALORE MEDIO UNITARIO DI SPESA =  12552,55</v>
      </c>
      <c r="H15" s="355"/>
      <c r="I15" s="355"/>
      <c r="J15" s="355"/>
      <c r="K15" s="355"/>
      <c r="L15" s="355"/>
      <c r="M15" s="355"/>
      <c r="N15" s="355"/>
    </row>
    <row r="16" spans="1:14" ht="41.25" customHeight="1" thickBot="1" x14ac:dyDescent="0.25">
      <c r="A16" s="188" t="str">
        <f>'t14'!A14</f>
        <v>CONTRATTI PER RESA SERVIZI/ADEMPIMENTI OBBLIGATORI PER LEGGE</v>
      </c>
      <c r="B16" s="282" t="str">
        <f>'t14'!B14</f>
        <v>L115</v>
      </c>
      <c r="C16" s="279">
        <f>'t14'!D14</f>
        <v>1310379</v>
      </c>
      <c r="D16" s="358">
        <f>IF($B$4=0," ",(IF(C16=0," ",C16/$B$4)))</f>
        <v>1.4999999999999999E-2</v>
      </c>
      <c r="E16" s="1616" t="str">
        <f>IF(SI_1!G62=0,IF('t14'!D14=0," ","MANCA IL NUMERO DEI CONTRATTI NELLA SI_1"),IF('t14'!D14=0,"VERIFICARE SE INSERIRE LE SPESE"," "))</f>
        <v xml:space="preserve"> </v>
      </c>
      <c r="F16" s="1620"/>
      <c r="G16" s="298" t="str">
        <f>IF(AND(C16&gt;0,SI_1!G62&gt;0),"VALORE MEDIO UNITARIO DI SPESA =  "&amp;C16/SI_1!G62," ")</f>
        <v>VALORE MEDIO UNITARIO DI SPESA =  14090,0967741935</v>
      </c>
      <c r="H16" s="355"/>
      <c r="I16" s="355"/>
      <c r="J16" s="355"/>
      <c r="K16" s="355"/>
      <c r="L16" s="355"/>
      <c r="M16" s="355"/>
      <c r="N16" s="355"/>
    </row>
    <row r="17" spans="1:14" ht="19.5" customHeight="1" x14ac:dyDescent="0.2">
      <c r="A17" s="188" t="str">
        <f>'t14'!A15</f>
        <v>ALTRE SPESE</v>
      </c>
      <c r="B17" s="282" t="str">
        <f>'t14'!B15</f>
        <v>L110</v>
      </c>
      <c r="C17" s="279">
        <f>'t14'!D15</f>
        <v>1201717</v>
      </c>
      <c r="D17" s="358">
        <f t="shared" si="1"/>
        <v>1.38E-2</v>
      </c>
      <c r="E17" s="1613" t="str">
        <f>IF($B$4=0,"TABELLE 12 -13 ASSENTI",(IF('t12'!J34=0,"TAB. 12 ASSENTE",(IF('t13'!X34=0,"TAB. 13 ASSENTE"," ")))))</f>
        <v xml:space="preserve"> </v>
      </c>
      <c r="F17" s="1622" t="s">
        <v>314</v>
      </c>
      <c r="G17" s="1623" t="s">
        <v>314</v>
      </c>
      <c r="H17" s="355"/>
      <c r="I17" s="355"/>
      <c r="J17" s="355"/>
      <c r="K17" s="355"/>
      <c r="L17" s="355"/>
      <c r="M17" s="355"/>
      <c r="N17" s="355"/>
    </row>
    <row r="18" spans="1:14" ht="19.5" customHeight="1" x14ac:dyDescent="0.2">
      <c r="A18" s="188" t="str">
        <f>'t14'!A16</f>
        <v>RETRIBUZIONI PERSONALE  A TEMPO DETERMINATO</v>
      </c>
      <c r="B18" s="282" t="str">
        <f>'t14'!B16</f>
        <v>P015</v>
      </c>
      <c r="C18" s="279">
        <f>'t14'!D16</f>
        <v>7135147</v>
      </c>
      <c r="D18" s="358">
        <f t="shared" si="1"/>
        <v>8.1699999999999995E-2</v>
      </c>
      <c r="E18" s="1624" t="s">
        <v>314</v>
      </c>
      <c r="F18" s="1625" t="s">
        <v>314</v>
      </c>
      <c r="G18" s="1626" t="s">
        <v>314</v>
      </c>
      <c r="H18" s="355"/>
      <c r="I18" s="355"/>
      <c r="J18" s="355"/>
      <c r="K18" s="355"/>
      <c r="L18" s="355"/>
      <c r="M18" s="355"/>
      <c r="N18" s="355"/>
    </row>
    <row r="19" spans="1:14" ht="19.5" customHeight="1" x14ac:dyDescent="0.2">
      <c r="A19" s="188" t="str">
        <f>'t14'!A17</f>
        <v>RETRIBUZIONI PERSONALE CON CONTRATTO DI FORMAZIONE E LAVORO</v>
      </c>
      <c r="B19" s="282" t="str">
        <f>'t14'!B17</f>
        <v>P016</v>
      </c>
      <c r="C19" s="279">
        <f>'t14'!D17</f>
        <v>0</v>
      </c>
      <c r="D19" s="358" t="str">
        <f t="shared" si="1"/>
        <v xml:space="preserve"> </v>
      </c>
      <c r="E19" s="1624" t="s">
        <v>314</v>
      </c>
      <c r="F19" s="1625" t="s">
        <v>314</v>
      </c>
      <c r="G19" s="1626" t="s">
        <v>314</v>
      </c>
      <c r="H19" s="355"/>
      <c r="I19" s="355"/>
      <c r="J19" s="355"/>
      <c r="K19" s="355"/>
      <c r="L19" s="355"/>
      <c r="M19" s="355"/>
      <c r="N19" s="355"/>
    </row>
    <row r="20" spans="1:14" ht="19.5" customHeight="1" thickBot="1" x14ac:dyDescent="0.25">
      <c r="A20" s="188" t="str">
        <f>'t14'!A18</f>
        <v>INDENNITA' DI MISSIONE E TRASFERIMENTO</v>
      </c>
      <c r="B20" s="282" t="str">
        <f>'t14'!B18</f>
        <v>P030</v>
      </c>
      <c r="C20" s="279">
        <f>'t14'!D18</f>
        <v>872208</v>
      </c>
      <c r="D20" s="358">
        <f t="shared" si="1"/>
        <v>0.01</v>
      </c>
      <c r="E20" s="1627" t="s">
        <v>314</v>
      </c>
      <c r="F20" s="1628" t="s">
        <v>314</v>
      </c>
      <c r="G20" s="1629" t="s">
        <v>314</v>
      </c>
      <c r="H20" s="355"/>
      <c r="I20" s="355"/>
      <c r="J20" s="355"/>
      <c r="K20" s="355"/>
      <c r="L20" s="355"/>
      <c r="M20" s="355"/>
      <c r="N20" s="355"/>
    </row>
    <row r="21" spans="1:14" ht="30.75" customHeight="1" thickBot="1" x14ac:dyDescent="0.25">
      <c r="A21" s="188" t="str">
        <f>'t14'!A20</f>
        <v>CONTRIBUTI A CARICO DELL'AMM.NE SU COMP. FISSE E ACCESSORIE</v>
      </c>
      <c r="B21" s="282" t="str">
        <f>'t14'!B20</f>
        <v>P055</v>
      </c>
      <c r="C21" s="279">
        <f>'t14'!D20</f>
        <v>25240902</v>
      </c>
      <c r="D21" s="358">
        <f t="shared" si="1"/>
        <v>0.28910000000000002</v>
      </c>
      <c r="E21" s="414">
        <f>IF(AND(C31=0,B4=0)," ",IF(C31=0,"TABELLA 14 ASSENTE",IF(AND(B4=0,C18=0,C19=0,C25=0),"INSERIRE RETRIBUZIONI",IF(C21=0,"INSERIRE CONTRIBUTI",ROUND((C21/(B4+C18+C19+C25)*100),2)))))</f>
        <v>26.72</v>
      </c>
      <c r="F21" s="1617" t="str">
        <f>IF(AND(B4=0,C31=0)," ",IF(C31=0,"VALORE INCONGRUENTE",IF(C21=0," ",IF(OR(E21&lt;22.678,E21&gt;30.682),"VALORE INCONGRUENTE (Inc. 4)","OK"))))</f>
        <v>OK</v>
      </c>
      <c r="G21" s="1618"/>
      <c r="H21" s="355"/>
      <c r="I21" s="355"/>
      <c r="J21" s="355"/>
      <c r="K21" s="355"/>
      <c r="L21" s="355"/>
      <c r="M21" s="355"/>
      <c r="N21" s="355"/>
    </row>
    <row r="22" spans="1:14" ht="30.75" customHeight="1" thickBot="1" x14ac:dyDescent="0.25">
      <c r="A22" s="188" t="str">
        <f>'t14'!A21</f>
        <v>QUOTE ANNUE ACCANTONAMENTO TFR O ALTRA IND. FINE SERVIZIO</v>
      </c>
      <c r="B22" s="282" t="str">
        <f>'t14'!B21</f>
        <v>P058</v>
      </c>
      <c r="C22" s="279">
        <f>'t14'!D21</f>
        <v>61725</v>
      </c>
      <c r="D22" s="358">
        <f>IF($B$4=0," ",(IF(C22=0," ",C22/$B$4)))</f>
        <v>6.9999999999999999E-4</v>
      </c>
      <c r="E22" s="1607" t="str">
        <f>IF($B$4=0,"TABELLE 12 -13 ASSENTI",(IF('t12'!$J$34=0,"TAB. 12 ASSENTE",(IF('t13'!$X$34=0,"TAB. 13 ASSENTE"," ")))))</f>
        <v xml:space="preserve"> </v>
      </c>
      <c r="F22" s="1608" t="s">
        <v>314</v>
      </c>
      <c r="G22" s="1609" t="s">
        <v>314</v>
      </c>
      <c r="H22" s="355"/>
      <c r="I22" s="355"/>
      <c r="J22" s="355"/>
      <c r="K22" s="355"/>
      <c r="L22" s="355"/>
      <c r="M22" s="355"/>
      <c r="N22" s="355"/>
    </row>
    <row r="23" spans="1:14" ht="24" customHeight="1" thickBot="1" x14ac:dyDescent="0.25">
      <c r="A23" s="188" t="str">
        <f>'t14'!A22</f>
        <v>IRAP</v>
      </c>
      <c r="B23" s="282" t="str">
        <f>'t14'!B22</f>
        <v>P061</v>
      </c>
      <c r="C23" s="279">
        <f>'t14'!D22</f>
        <v>7703638</v>
      </c>
      <c r="D23" s="358">
        <f>IF($B$4=0," ",IF(C23=0," ",C23/$B$4))</f>
        <v>8.8200000000000001E-2</v>
      </c>
      <c r="E23" s="414">
        <f>IF(AND(B4=0,C31=0)," ",IF(C31=0,"TABELLA 14 ASSENTE",IF(AND(B4=0,C18=0,C19=0,C25=0),"INSERIRE RETRIBUZIONI",IF(C23=0,"INSERIRE SOMME IRAP",ROUND((C23/(B4+C18+C19+C25)*100),2)))))</f>
        <v>8.16</v>
      </c>
      <c r="F23" s="1617" t="str">
        <f>IF('t14'!G22=1,IF(E23&gt;8.5,"VALORE INCONGRUENTE (Inc.4)","E' stata dichiarata IRAP Commerciale"),IF(AND(B4=0,C31=0)," ",IF(C31=0,"VALORE INCONGRUENTE",IF(C23=0," ",IF(OR(E23&lt;7.65,E23&gt;9.35),"VALORE INCONGRUENTE (Inc.4)","OK")))))</f>
        <v>OK</v>
      </c>
      <c r="G23" s="1618"/>
      <c r="H23" s="355"/>
      <c r="I23" s="355"/>
      <c r="J23" s="355"/>
      <c r="K23" s="355"/>
      <c r="L23" s="355"/>
      <c r="M23" s="355"/>
      <c r="N23" s="355"/>
    </row>
    <row r="24" spans="1:14" ht="19.5" customHeight="1" thickBot="1" x14ac:dyDescent="0.25">
      <c r="A24" s="188" t="str">
        <f>'t14'!A23</f>
        <v>ONERI PER I CONTRATTI DI SOMMINISTRAZIONE(INTERINALI)</v>
      </c>
      <c r="B24" s="282" t="str">
        <f>'t14'!B23</f>
        <v>P062</v>
      </c>
      <c r="C24" s="280">
        <f>'t14'!D23</f>
        <v>0</v>
      </c>
      <c r="D24" s="360" t="str">
        <f>IF($B$4=0," ",(IF(AND(C24=0,C12&gt;0),"MANCANO GLI ONERI PER I LAVORATORI",IF(C24=0," ",C24/$B$4))))</f>
        <v xml:space="preserve"> </v>
      </c>
      <c r="E24" s="1619" t="str">
        <f>(IF(AND(C24=0,C12&gt;0),"L105 VALORIZZATA; INSERIRE RETRIBUZIONI PER INTERINALI (P062)"," "))</f>
        <v xml:space="preserve"> </v>
      </c>
      <c r="F24" s="1630"/>
      <c r="G24" s="1631"/>
      <c r="H24" s="355"/>
      <c r="I24" s="355"/>
      <c r="J24" s="355"/>
      <c r="K24" s="355"/>
      <c r="L24" s="355"/>
      <c r="M24" s="355"/>
      <c r="N24" s="355"/>
    </row>
    <row r="25" spans="1:14" ht="19.5" customHeight="1" x14ac:dyDescent="0.2">
      <c r="A25" s="188" t="str">
        <f>'t14'!A24</f>
        <v>COMPENSI PER PERSONALE LSU/LPU</v>
      </c>
      <c r="B25" s="282" t="str">
        <f>'t14'!B24</f>
        <v>P065</v>
      </c>
      <c r="C25" s="279">
        <f>'t14'!D24</f>
        <v>0</v>
      </c>
      <c r="D25" s="362" t="str">
        <f t="shared" ref="D25:D30" si="2">IF($B$4=0," ",(IF(C25=0," ",C25/$B$4)))</f>
        <v xml:space="preserve"> </v>
      </c>
      <c r="E25" s="1607" t="str">
        <f>IF($B$4=0,"TABELLE 12 -13 ASSENTI",(IF('t12'!$J$34=0,"TAB. 12 ASSENTE",(IF('t13'!$X$34=0,"TAB. 13 ASSENTE"," ")))))</f>
        <v xml:space="preserve"> </v>
      </c>
      <c r="F25" s="1608"/>
      <c r="G25" s="1609"/>
      <c r="H25" s="355"/>
      <c r="I25" s="355"/>
      <c r="J25" s="355"/>
      <c r="K25" s="355"/>
      <c r="L25" s="355"/>
      <c r="M25" s="355"/>
      <c r="N25" s="355"/>
    </row>
    <row r="26" spans="1:14" ht="19.5" customHeight="1" x14ac:dyDescent="0.2">
      <c r="A26" s="188" t="str">
        <f>'t14'!A25</f>
        <v>SOMME RIMBORSATE PER PERSONALE COMAND./FUORI RUOLO/IN CONV.</v>
      </c>
      <c r="B26" s="282" t="str">
        <f>'t14'!B25</f>
        <v>P071</v>
      </c>
      <c r="C26" s="279">
        <f>'t14'!D25</f>
        <v>169723</v>
      </c>
      <c r="D26" s="361">
        <f t="shared" si="2"/>
        <v>1.9E-3</v>
      </c>
      <c r="E26" s="1607"/>
      <c r="F26" s="1608"/>
      <c r="G26" s="1609"/>
      <c r="H26" s="355"/>
      <c r="I26" s="355"/>
      <c r="J26" s="355"/>
      <c r="K26" s="355"/>
      <c r="L26" s="355"/>
      <c r="M26" s="355"/>
      <c r="N26" s="355"/>
    </row>
    <row r="27" spans="1:14" ht="19.5" customHeight="1" x14ac:dyDescent="0.2">
      <c r="A27" s="188" t="str">
        <f>'t14'!A26</f>
        <v>ALTRE SOMME RIMBORSATE ALLE AMMINISTRAZIONI</v>
      </c>
      <c r="B27" s="282" t="str">
        <f>'t14'!B26</f>
        <v>P074</v>
      </c>
      <c r="C27" s="279">
        <f>'t14'!D26</f>
        <v>0</v>
      </c>
      <c r="D27" s="361" t="str">
        <f t="shared" si="2"/>
        <v xml:space="preserve"> </v>
      </c>
      <c r="E27" s="1607"/>
      <c r="F27" s="1608"/>
      <c r="G27" s="1609"/>
      <c r="H27" s="355"/>
      <c r="I27" s="355"/>
      <c r="J27" s="355"/>
      <c r="K27" s="355"/>
      <c r="L27" s="355"/>
      <c r="M27" s="355"/>
      <c r="N27" s="355"/>
    </row>
    <row r="28" spans="1:14" ht="19.5" customHeight="1" x14ac:dyDescent="0.2">
      <c r="A28" s="188" t="str">
        <f>'t14'!A27</f>
        <v>SOMME RICEVUTE DA U.E. E/O PRIVATI (-)</v>
      </c>
      <c r="B28" s="282" t="str">
        <f>'t14'!B27</f>
        <v>P098</v>
      </c>
      <c r="C28" s="279">
        <f>'t14'!D27</f>
        <v>89333</v>
      </c>
      <c r="D28" s="361">
        <f t="shared" si="2"/>
        <v>1E-3</v>
      </c>
      <c r="E28" s="1607"/>
      <c r="F28" s="1608"/>
      <c r="G28" s="1609"/>
      <c r="H28" s="355"/>
      <c r="I28" s="355"/>
      <c r="J28" s="355"/>
      <c r="K28" s="355"/>
      <c r="L28" s="355"/>
      <c r="M28" s="355"/>
      <c r="N28" s="355"/>
    </row>
    <row r="29" spans="1:14" ht="19.5" customHeight="1" x14ac:dyDescent="0.2">
      <c r="A29" s="188" t="str">
        <f>'t14'!A28</f>
        <v>RIMBORSI RICEVUTI PER PERS. COMAND./FUORI RUOLO/IN CONV. (-)</v>
      </c>
      <c r="B29" s="282" t="str">
        <f>'t14'!B28</f>
        <v>P090</v>
      </c>
      <c r="C29" s="279">
        <f>'t14'!D28</f>
        <v>354832</v>
      </c>
      <c r="D29" s="361">
        <f t="shared" si="2"/>
        <v>4.1000000000000003E-3</v>
      </c>
      <c r="E29" s="1607"/>
      <c r="F29" s="1608"/>
      <c r="G29" s="1609"/>
      <c r="H29" s="355"/>
      <c r="I29" s="355"/>
      <c r="J29" s="355"/>
      <c r="K29" s="355"/>
      <c r="L29" s="355"/>
      <c r="M29" s="355"/>
      <c r="N29" s="355"/>
    </row>
    <row r="30" spans="1:14" ht="19.5" customHeight="1" thickBot="1" x14ac:dyDescent="0.25">
      <c r="A30" s="188" t="str">
        <f>'t14'!A29</f>
        <v>ALTRI RIMBORSI RICEVUTI DALLE AMMINISTRAZIONI (-)</v>
      </c>
      <c r="B30" s="282" t="str">
        <f>'t14'!B29</f>
        <v>P099</v>
      </c>
      <c r="C30" s="279">
        <f>'t14'!D29</f>
        <v>1330</v>
      </c>
      <c r="D30" s="361">
        <f t="shared" si="2"/>
        <v>0</v>
      </c>
      <c r="E30" s="1610"/>
      <c r="F30" s="1611"/>
      <c r="G30" s="1612"/>
      <c r="H30" s="355"/>
      <c r="I30" s="355"/>
      <c r="J30" s="355"/>
      <c r="K30" s="355"/>
      <c r="L30" s="355"/>
      <c r="M30" s="355"/>
      <c r="N30" s="355"/>
    </row>
    <row r="31" spans="1:14" s="354" customFormat="1" ht="18" customHeight="1" x14ac:dyDescent="0.15">
      <c r="A31" s="352" t="s">
        <v>71</v>
      </c>
      <c r="B31" s="352"/>
      <c r="C31" s="353">
        <f>SUM(C6:C30)</f>
        <v>47474618</v>
      </c>
      <c r="D31" s="352"/>
      <c r="E31" s="352"/>
      <c r="F31" s="352"/>
      <c r="G31" s="352"/>
      <c r="I31" s="356"/>
      <c r="J31" s="356"/>
      <c r="K31" s="356"/>
      <c r="L31" s="356"/>
      <c r="M31" s="356"/>
      <c r="N31" s="356"/>
    </row>
  </sheetData>
  <sheetProtection password="DD41" sheet="1" formatColumns="0" selectLockedCells="1" selectUnlockedCells="1"/>
  <mergeCells count="16">
    <mergeCell ref="A1:E1"/>
    <mergeCell ref="B2:G2"/>
    <mergeCell ref="B4:G4"/>
    <mergeCell ref="E5:G5"/>
    <mergeCell ref="E25:G30"/>
    <mergeCell ref="E6:G11"/>
    <mergeCell ref="E12:G12"/>
    <mergeCell ref="F21:G21"/>
    <mergeCell ref="F23:G23"/>
    <mergeCell ref="E13:G13"/>
    <mergeCell ref="E17:G20"/>
    <mergeCell ref="E22:G22"/>
    <mergeCell ref="E14:F14"/>
    <mergeCell ref="E15:F15"/>
    <mergeCell ref="E24:G24"/>
    <mergeCell ref="E16:F16"/>
  </mergeCells>
  <phoneticPr fontId="30" type="noConversion"/>
  <printOptions horizontalCentered="1" verticalCentered="1"/>
  <pageMargins left="0.19685039370078741" right="0.23622047244094491" top="0.19685039370078741" bottom="0.19685039370078741" header="0.15748031496062992" footer="0.15748031496062992"/>
  <pageSetup paperSize="9" scale="72" orientation="landscape" horizontalDpi="300" verticalDpi="300" r:id="rId1"/>
  <headerFooter alignWithMargins="0"/>
  <ignoredErrors>
    <ignoredError sqref="D24" formula="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0">
    <pageSetUpPr fitToPage="1"/>
  </sheetPr>
  <dimension ref="A1:K33"/>
  <sheetViews>
    <sheetView showGridLines="0" workbookViewId="0">
      <pane ySplit="5" topLeftCell="A6" activePane="bottomLeft" state="frozen"/>
      <selection activeCell="A2" sqref="A2"/>
      <selection pane="bottomLeft" activeCell="B5" sqref="B5"/>
    </sheetView>
  </sheetViews>
  <sheetFormatPr defaultRowHeight="11.25" x14ac:dyDescent="0.2"/>
  <cols>
    <col min="1" max="1" width="38.6640625" style="3" customWidth="1"/>
    <col min="2" max="2" width="11.33203125" style="2" customWidth="1"/>
    <col min="3" max="3" width="21.33203125" style="349" customWidth="1"/>
    <col min="4" max="5" width="21.33203125" style="2" customWidth="1"/>
    <col min="6" max="6" width="21.33203125" style="313" customWidth="1"/>
    <col min="7" max="7" width="21.33203125" style="2" customWidth="1"/>
    <col min="8" max="8" width="9.33203125" style="89" customWidth="1"/>
  </cols>
  <sheetData>
    <row r="1" spans="1:11" s="3" customFormat="1" ht="43.5" customHeight="1" x14ac:dyDescent="0.2">
      <c r="A1" s="1486" t="str">
        <f>'t1'!A1</f>
        <v>REGIONE VALLE D'AOSTA - anno 2024</v>
      </c>
      <c r="B1" s="1486"/>
      <c r="C1" s="1486"/>
      <c r="D1" s="1486"/>
      <c r="E1" s="1486"/>
      <c r="F1" s="1486"/>
      <c r="G1" s="1486"/>
      <c r="K1"/>
    </row>
    <row r="2" spans="1:11" s="3" customFormat="1" ht="21" customHeight="1" x14ac:dyDescent="0.2">
      <c r="C2" s="346"/>
      <c r="D2" s="1573"/>
      <c r="E2" s="1573"/>
      <c r="F2" s="1573"/>
      <c r="G2" s="1573"/>
      <c r="H2" s="274"/>
      <c r="K2"/>
    </row>
    <row r="3" spans="1:11" s="3" customFormat="1" ht="21" customHeight="1" x14ac:dyDescent="0.25">
      <c r="A3" s="168" t="s">
        <v>317</v>
      </c>
      <c r="B3" s="2"/>
      <c r="C3" s="346"/>
      <c r="F3" s="314"/>
      <c r="G3" s="2"/>
    </row>
    <row r="4" spans="1:11" ht="53.25" customHeight="1" x14ac:dyDescent="0.15">
      <c r="A4" s="154" t="s">
        <v>229</v>
      </c>
      <c r="B4" s="155" t="s">
        <v>191</v>
      </c>
      <c r="C4" s="347" t="str">
        <f>"Presenti 31.12."&amp;'t1'!L1&amp;" (Tab T1) uomini+donne della tabella T1"</f>
        <v>Presenti 31.12.2024 (Tab T1) uomini+donne della tabella T1</v>
      </c>
      <c r="D4" s="155" t="s">
        <v>312</v>
      </c>
      <c r="E4" s="155" t="s">
        <v>315</v>
      </c>
      <c r="F4" s="350" t="s">
        <v>316</v>
      </c>
      <c r="G4" s="155" t="s">
        <v>318</v>
      </c>
    </row>
    <row r="5" spans="1:11" s="171" customFormat="1" ht="10.5" x14ac:dyDescent="0.15">
      <c r="A5" s="153"/>
      <c r="B5" s="166"/>
      <c r="C5" s="348" t="s">
        <v>193</v>
      </c>
      <c r="D5" s="166" t="s">
        <v>194</v>
      </c>
      <c r="E5" s="166" t="s">
        <v>195</v>
      </c>
      <c r="F5" s="351" t="s">
        <v>196</v>
      </c>
      <c r="G5" s="166"/>
      <c r="H5" s="89"/>
    </row>
    <row r="6" spans="1:11" ht="12.75" x14ac:dyDescent="0.2">
      <c r="A6" s="112" t="str">
        <f>'t1'!A6</f>
        <v>SEGRETARIO I FASCIA</v>
      </c>
      <c r="B6" s="86" t="str">
        <f>'t1'!B6</f>
        <v>0D0102</v>
      </c>
      <c r="C6" s="600">
        <f>('t1'!K6+'t1'!L6)</f>
        <v>0</v>
      </c>
      <c r="D6" s="295">
        <f>'t5'!U7+'t5'!V7</f>
        <v>0</v>
      </c>
      <c r="E6" s="295">
        <f>'t4'!AE15</f>
        <v>0</v>
      </c>
      <c r="F6" s="296">
        <f>'t12'!C6</f>
        <v>0</v>
      </c>
      <c r="G6" s="315" t="str">
        <f>IF(OR(AND(NOT(C6),NOT(D6),NOT(E6),NOT(F6)),AND((OR(C6,D6,E6)),F6)),"OK","ERRORE")</f>
        <v>OK</v>
      </c>
    </row>
    <row r="7" spans="1:11" ht="12.75" x14ac:dyDescent="0.2">
      <c r="A7" s="112" t="str">
        <f>'t1'!A7</f>
        <v>SEGRETARIO II FASCIA</v>
      </c>
      <c r="B7" s="86" t="str">
        <f>'t1'!B7</f>
        <v>0D0103</v>
      </c>
      <c r="C7" s="600">
        <f>('t1'!K7+'t1'!L7)</f>
        <v>0</v>
      </c>
      <c r="D7" s="295">
        <f>'t5'!U8+'t5'!V8</f>
        <v>0</v>
      </c>
      <c r="E7" s="295">
        <f>'t4'!AE16</f>
        <v>0</v>
      </c>
      <c r="F7" s="296">
        <f>'t12'!C7</f>
        <v>0</v>
      </c>
      <c r="G7" s="315" t="str">
        <f>IF(OR(AND(NOT(C7),NOT(D7),NOT(E7),NOT(F7)),AND((OR(C7,D7,E7)),F7)),"OK","ERRORE")</f>
        <v>OK</v>
      </c>
    </row>
    <row r="8" spans="1:11" ht="12.75" x14ac:dyDescent="0.2">
      <c r="A8" s="112" t="str">
        <f>'t1'!A8</f>
        <v>SEGRETARIO III FASCIA</v>
      </c>
      <c r="B8" s="86" t="str">
        <f>'t1'!B8</f>
        <v>0D0485</v>
      </c>
      <c r="C8" s="600">
        <f>('t1'!K8+'t1'!L8)</f>
        <v>0</v>
      </c>
      <c r="D8" s="295">
        <f>'t5'!U9+'t5'!V9</f>
        <v>0</v>
      </c>
      <c r="E8" s="295">
        <f>'t4'!AE17</f>
        <v>0</v>
      </c>
      <c r="F8" s="296">
        <f>'t12'!C8</f>
        <v>0</v>
      </c>
      <c r="G8" s="315" t="str">
        <f>IF(OR(AND(NOT(C8),NOT(D8),NOT(E8),NOT(F8)),AND((OR(C8,D8,E8)),F8)),"OK","ERRORE")</f>
        <v>OK</v>
      </c>
    </row>
    <row r="9" spans="1:11" ht="12.75" x14ac:dyDescent="0.2">
      <c r="A9" s="112" t="str">
        <f>'t1'!A9</f>
        <v>DIRIGENTI</v>
      </c>
      <c r="B9" s="86" t="str">
        <f>'t1'!B9</f>
        <v>0D0164</v>
      </c>
      <c r="C9" s="600">
        <f>('t1'!K9+'t1'!L9)</f>
        <v>112</v>
      </c>
      <c r="D9" s="295">
        <f>'t5'!U10+'t5'!V10</f>
        <v>9</v>
      </c>
      <c r="E9" s="295">
        <f>'t4'!AE18</f>
        <v>0</v>
      </c>
      <c r="F9" s="296">
        <f>'t12'!C9</f>
        <v>1308.3599999999999</v>
      </c>
      <c r="G9" s="315" t="str">
        <f>IF(OR(AND(NOT(C9),NOT(D9),NOT(E9),NOT(F9)),AND((OR(C9,D9,E9)),F9)),"OK","ERRORE")</f>
        <v>OK</v>
      </c>
    </row>
    <row r="10" spans="1:11" ht="12.75" x14ac:dyDescent="0.2">
      <c r="A10" s="112" t="str">
        <f>'t1'!A10</f>
        <v>POSIZIONE ECONOMICA D</v>
      </c>
      <c r="B10" s="86" t="str">
        <f>'t1'!B10</f>
        <v>047000</v>
      </c>
      <c r="C10" s="600">
        <f>('t1'!K10+'t1'!L10)</f>
        <v>460</v>
      </c>
      <c r="D10" s="295">
        <f>'t5'!U11+'t5'!V11</f>
        <v>12</v>
      </c>
      <c r="E10" s="295">
        <f>'t4'!AE19</f>
        <v>2</v>
      </c>
      <c r="F10" s="296">
        <f>'t12'!C10</f>
        <v>5013.7299999999996</v>
      </c>
      <c r="G10" s="315" t="str">
        <f t="shared" ref="G10:G25" si="0">IF(OR(AND(NOT(C10),NOT(D10),NOT(E10),NOT(F10)),AND((OR(C10,D10,E10)),F10)),"OK","ERRORE")</f>
        <v>OK</v>
      </c>
    </row>
    <row r="11" spans="1:11" ht="12.75" x14ac:dyDescent="0.2">
      <c r="A11" s="112" t="str">
        <f>'t1'!A11</f>
        <v>POSIZIONE ECONOMICA D - FORESTALE</v>
      </c>
      <c r="B11" s="86" t="str">
        <f>'t1'!B11</f>
        <v>047FOR</v>
      </c>
      <c r="C11" s="600">
        <f>('t1'!K11+'t1'!L11)</f>
        <v>0</v>
      </c>
      <c r="D11" s="295">
        <f>'t5'!U12+'t5'!V12</f>
        <v>0</v>
      </c>
      <c r="E11" s="295">
        <f>'t4'!AE20</f>
        <v>0</v>
      </c>
      <c r="F11" s="296">
        <f>'t12'!C11</f>
        <v>0</v>
      </c>
      <c r="G11" s="315" t="str">
        <f t="shared" si="0"/>
        <v>OK</v>
      </c>
    </row>
    <row r="12" spans="1:11" ht="12.75" x14ac:dyDescent="0.2">
      <c r="A12" s="112" t="str">
        <f>'t1'!A12</f>
        <v>POSIZIONE ECONOMICA D  ISPETTORE ANTINCENDI DIRETTORE-VVFF</v>
      </c>
      <c r="B12" s="86" t="str">
        <f>'t1'!B12</f>
        <v>047IS3</v>
      </c>
      <c r="C12" s="600">
        <f>('t1'!K12+'t1'!L12)</f>
        <v>0</v>
      </c>
      <c r="D12" s="295">
        <f>'t5'!U13+'t5'!V13</f>
        <v>0</v>
      </c>
      <c r="E12" s="295">
        <f>'t4'!AE21</f>
        <v>1</v>
      </c>
      <c r="F12" s="296">
        <f>'t12'!C12</f>
        <v>1</v>
      </c>
      <c r="G12" s="315" t="str">
        <f t="shared" si="0"/>
        <v>OK</v>
      </c>
    </row>
    <row r="13" spans="1:11" ht="12.75" x14ac:dyDescent="0.2">
      <c r="A13" s="112" t="str">
        <f>'t1'!A13</f>
        <v>POSIZIONE ECONOMICA D  ISPETTORE ANTINCENDI  VVFF</v>
      </c>
      <c r="B13" s="86" t="str">
        <f>'t1'!B13</f>
        <v>047IS2</v>
      </c>
      <c r="C13" s="600">
        <f>('t1'!K13+'t1'!L13)</f>
        <v>5</v>
      </c>
      <c r="D13" s="295">
        <f>'t5'!U14+'t5'!V14</f>
        <v>0</v>
      </c>
      <c r="E13" s="295">
        <f>'t4'!AE22</f>
        <v>0</v>
      </c>
      <c r="F13" s="296">
        <f>'t12'!C13</f>
        <v>47</v>
      </c>
      <c r="G13" s="315" t="str">
        <f t="shared" si="0"/>
        <v>OK</v>
      </c>
    </row>
    <row r="14" spans="1:11" ht="12.75" x14ac:dyDescent="0.2">
      <c r="A14" s="112" t="str">
        <f>'t1'!A14</f>
        <v>POSIZIONE ECONOMICA C2</v>
      </c>
      <c r="B14" s="86" t="str">
        <f>'t1'!B14</f>
        <v>042000</v>
      </c>
      <c r="C14" s="600">
        <f>('t1'!K14+'t1'!L14)</f>
        <v>766</v>
      </c>
      <c r="D14" s="295">
        <f>'t5'!U15+'t5'!V15</f>
        <v>31</v>
      </c>
      <c r="E14" s="295">
        <f>'t4'!AE23</f>
        <v>5</v>
      </c>
      <c r="F14" s="296">
        <f>'t12'!C14</f>
        <v>7829.03</v>
      </c>
      <c r="G14" s="315" t="str">
        <f t="shared" si="0"/>
        <v>OK</v>
      </c>
    </row>
    <row r="15" spans="1:11" ht="12.75" x14ac:dyDescent="0.2">
      <c r="A15" s="112" t="str">
        <f>'t1'!A15</f>
        <v>POSIZIONE ECONOMICA C1</v>
      </c>
      <c r="B15" s="86" t="str">
        <f>'t1'!B15</f>
        <v>040000</v>
      </c>
      <c r="C15" s="600">
        <f>('t1'!K15+'t1'!L15)</f>
        <v>25</v>
      </c>
      <c r="D15" s="295">
        <f>'t5'!U16+'t5'!V16</f>
        <v>0</v>
      </c>
      <c r="E15" s="295">
        <f>'t4'!AE24</f>
        <v>2</v>
      </c>
      <c r="F15" s="296">
        <f>'t12'!C15</f>
        <v>301.3</v>
      </c>
      <c r="G15" s="315" t="str">
        <f t="shared" si="0"/>
        <v>OK</v>
      </c>
    </row>
    <row r="16" spans="1:11" ht="12.75" x14ac:dyDescent="0.2">
      <c r="A16" s="112" t="str">
        <f>'t1'!A16</f>
        <v>ISPETTORE FORESTALE C21F</v>
      </c>
      <c r="B16" s="86" t="str">
        <f>'t1'!B16</f>
        <v>042324</v>
      </c>
      <c r="C16" s="600">
        <f>('t1'!K16+'t1'!L16)</f>
        <v>19</v>
      </c>
      <c r="D16" s="295">
        <f>'t5'!U17+'t5'!V17</f>
        <v>1</v>
      </c>
      <c r="E16" s="295">
        <f>'t4'!AE25</f>
        <v>0</v>
      </c>
      <c r="F16" s="296">
        <f>'t12'!C16</f>
        <v>215.2</v>
      </c>
      <c r="G16" s="315" t="str">
        <f t="shared" si="0"/>
        <v>OK</v>
      </c>
    </row>
    <row r="17" spans="1:7" ht="12.75" x14ac:dyDescent="0.2">
      <c r="A17" s="112" t="str">
        <f>'t1'!A17</f>
        <v>SOVRAINTENDENTE C1F</v>
      </c>
      <c r="B17" s="86" t="str">
        <f>'t1'!B17</f>
        <v>040211</v>
      </c>
      <c r="C17" s="600">
        <f>('t1'!K17+'t1'!L17)</f>
        <v>27</v>
      </c>
      <c r="D17" s="295">
        <f>'t5'!U18+'t5'!V18</f>
        <v>1</v>
      </c>
      <c r="E17" s="295">
        <f>'t4'!AE26</f>
        <v>0</v>
      </c>
      <c r="F17" s="296">
        <f>'t12'!C17</f>
        <v>257.37</v>
      </c>
      <c r="G17" s="315" t="str">
        <f t="shared" si="0"/>
        <v>OK</v>
      </c>
    </row>
    <row r="18" spans="1:7" ht="12.75" x14ac:dyDescent="0.2">
      <c r="A18" s="112" t="str">
        <f>'t1'!A18</f>
        <v>POSIZIONE ECONOMICA C2  CAPO REPARTO  VVFF</v>
      </c>
      <c r="B18" s="86" t="str">
        <f>'t1'!B18</f>
        <v>042CR1</v>
      </c>
      <c r="C18" s="600">
        <f>('t1'!K18+'t1'!L18)</f>
        <v>11</v>
      </c>
      <c r="D18" s="295">
        <f>'t5'!U19+'t5'!V19</f>
        <v>1</v>
      </c>
      <c r="E18" s="295">
        <f>'t4'!AE27</f>
        <v>0</v>
      </c>
      <c r="F18" s="296">
        <f>'t12'!C18</f>
        <v>133.47</v>
      </c>
      <c r="G18" s="315" t="str">
        <f t="shared" si="0"/>
        <v>OK</v>
      </c>
    </row>
    <row r="19" spans="1:7" ht="12.75" x14ac:dyDescent="0.2">
      <c r="A19" s="112" t="str">
        <f>'t1'!A19</f>
        <v>POSIZIONE ECONOMICA C2  COLLAB. TECNICO ANTINCENDI  VVFF</v>
      </c>
      <c r="B19" s="86" t="str">
        <f>'t1'!B19</f>
        <v>042CA0</v>
      </c>
      <c r="C19" s="600">
        <f>('t1'!K19+'t1'!L19)</f>
        <v>8</v>
      </c>
      <c r="D19" s="295">
        <f>'t5'!U20+'t5'!V20</f>
        <v>0</v>
      </c>
      <c r="E19" s="295">
        <f>'t4'!AE28</f>
        <v>0</v>
      </c>
      <c r="F19" s="296">
        <f>'t12'!C19</f>
        <v>96</v>
      </c>
      <c r="G19" s="315" t="str">
        <f t="shared" si="0"/>
        <v>OK</v>
      </c>
    </row>
    <row r="20" spans="1:7" ht="12.75" x14ac:dyDescent="0.2">
      <c r="A20" s="112" t="str">
        <f>'t1'!A20</f>
        <v>POSIZIONE ECONOMICA C1  CAPO SQUADRA  VVFF</v>
      </c>
      <c r="B20" s="86" t="str">
        <f>'t1'!B20</f>
        <v>040CS1</v>
      </c>
      <c r="C20" s="600">
        <f>('t1'!K20+'t1'!L20)</f>
        <v>31</v>
      </c>
      <c r="D20" s="295">
        <f>'t5'!U21+'t5'!V21</f>
        <v>2</v>
      </c>
      <c r="E20" s="295">
        <f>'t4'!AE29</f>
        <v>0</v>
      </c>
      <c r="F20" s="296">
        <f>'t12'!C20</f>
        <v>365.87</v>
      </c>
      <c r="G20" s="315" t="str">
        <f t="shared" si="0"/>
        <v>OK</v>
      </c>
    </row>
    <row r="21" spans="1:7" ht="12.75" x14ac:dyDescent="0.2">
      <c r="A21" s="112" t="str">
        <f>'t1'!A21</f>
        <v>POSIZIONE ECONOMICA B3</v>
      </c>
      <c r="B21" s="86" t="str">
        <f>'t1'!B21</f>
        <v>034000</v>
      </c>
      <c r="C21" s="600">
        <f>('t1'!K21+'t1'!L21)</f>
        <v>13</v>
      </c>
      <c r="D21" s="295">
        <f>'t5'!U22+'t5'!V22</f>
        <v>0</v>
      </c>
      <c r="E21" s="295">
        <f>'t4'!AE30</f>
        <v>1</v>
      </c>
      <c r="F21" s="296">
        <f>'t12'!C21</f>
        <v>144.04</v>
      </c>
      <c r="G21" s="315" t="str">
        <f t="shared" si="0"/>
        <v>OK</v>
      </c>
    </row>
    <row r="22" spans="1:7" ht="12.75" x14ac:dyDescent="0.2">
      <c r="A22" s="112" t="str">
        <f>'t1'!A22</f>
        <v>POSIZIONE ECONOMICA B2S</v>
      </c>
      <c r="B22" s="86" t="str">
        <f>'t1'!B22</f>
        <v>033000</v>
      </c>
      <c r="C22" s="600">
        <f>('t1'!K22+'t1'!L22)</f>
        <v>5</v>
      </c>
      <c r="D22" s="295">
        <f>'t5'!U23+'t5'!V23</f>
        <v>0</v>
      </c>
      <c r="E22" s="295">
        <f>'t4'!AE31</f>
        <v>0</v>
      </c>
      <c r="F22" s="296">
        <f>'t12'!C22</f>
        <v>58</v>
      </c>
      <c r="G22" s="315" t="str">
        <f t="shared" si="0"/>
        <v>OK</v>
      </c>
    </row>
    <row r="23" spans="1:7" ht="12.75" x14ac:dyDescent="0.2">
      <c r="A23" s="112" t="str">
        <f>'t1'!A23</f>
        <v>POSIZIONE ECONOMICA B2</v>
      </c>
      <c r="B23" s="86" t="str">
        <f>'t1'!B23</f>
        <v>032000</v>
      </c>
      <c r="C23" s="600">
        <f>('t1'!K23+'t1'!L23)</f>
        <v>516</v>
      </c>
      <c r="D23" s="295">
        <f>'t5'!U24+'t5'!V24</f>
        <v>38</v>
      </c>
      <c r="E23" s="295">
        <f>'t4'!AE32</f>
        <v>23</v>
      </c>
      <c r="F23" s="296">
        <f>'t12'!C23</f>
        <v>6146.83</v>
      </c>
      <c r="G23" s="315" t="str">
        <f t="shared" si="0"/>
        <v>OK</v>
      </c>
    </row>
    <row r="24" spans="1:7" ht="12.75" x14ac:dyDescent="0.2">
      <c r="A24" s="112" t="str">
        <f>'t1'!A24</f>
        <v>POSIZIONE ECONOMICA B1</v>
      </c>
      <c r="B24" s="86" t="str">
        <f>'t1'!B24</f>
        <v>030000</v>
      </c>
      <c r="C24" s="600">
        <f>('t1'!K24+'t1'!L24)</f>
        <v>23</v>
      </c>
      <c r="D24" s="295">
        <f>'t5'!U25+'t5'!V25</f>
        <v>5</v>
      </c>
      <c r="E24" s="295">
        <f>'t4'!AE33</f>
        <v>0</v>
      </c>
      <c r="F24" s="296">
        <f>'t12'!C24</f>
        <v>284.92</v>
      </c>
      <c r="G24" s="315" t="str">
        <f t="shared" si="0"/>
        <v>OK</v>
      </c>
    </row>
    <row r="25" spans="1:7" ht="12.75" x14ac:dyDescent="0.2">
      <c r="A25" s="112" t="str">
        <f>'t1'!A25</f>
        <v>POS. EC. B3-GUARDIA  FORESTALE 5 A.</v>
      </c>
      <c r="B25" s="86" t="str">
        <f>'t1'!B25</f>
        <v>034561</v>
      </c>
      <c r="C25" s="600">
        <f>('t1'!K25+'t1'!L25)</f>
        <v>41</v>
      </c>
      <c r="D25" s="295">
        <f>'t5'!U26+'t5'!V26</f>
        <v>5</v>
      </c>
      <c r="E25" s="295">
        <f>'t4'!AE34</f>
        <v>1</v>
      </c>
      <c r="F25" s="296">
        <f>'t12'!C25</f>
        <v>528.09</v>
      </c>
      <c r="G25" s="315" t="str">
        <f t="shared" si="0"/>
        <v>OK</v>
      </c>
    </row>
    <row r="26" spans="1:7" ht="12.75" x14ac:dyDescent="0.2">
      <c r="A26" s="112" t="str">
        <f>'t1'!A26</f>
        <v>POS. EC. B2-GUARDIA  FORESTALE</v>
      </c>
      <c r="B26" s="86" t="str">
        <f>'t1'!B26</f>
        <v>032561</v>
      </c>
      <c r="C26" s="600">
        <f>('t1'!K26+'t1'!L26)</f>
        <v>24</v>
      </c>
      <c r="D26" s="295">
        <f>'t5'!U27+'t5'!V27</f>
        <v>0</v>
      </c>
      <c r="E26" s="295">
        <f>'t4'!AE35</f>
        <v>6</v>
      </c>
      <c r="F26" s="296">
        <f>'t12'!C26</f>
        <v>231.14</v>
      </c>
      <c r="G26" s="315" t="str">
        <f t="shared" ref="G26:G33" si="1">IF(OR(AND(NOT(C26),NOT(D26),NOT(E26),NOT(F26)),AND((OR(C26,D26,E26)),F26)),"OK","ERRORE")</f>
        <v>OK</v>
      </c>
    </row>
    <row r="27" spans="1:7" ht="12.75" x14ac:dyDescent="0.2">
      <c r="A27" s="112" t="str">
        <f>'t1'!A27</f>
        <v>POSIZIONE ECONOMICA B1 - FORESTALE</v>
      </c>
      <c r="B27" s="86" t="str">
        <f>'t1'!B27</f>
        <v>030FOR</v>
      </c>
      <c r="C27" s="600">
        <f>('t1'!K27+'t1'!L27)</f>
        <v>0</v>
      </c>
      <c r="D27" s="295">
        <f>'t5'!U28+'t5'!V28</f>
        <v>0</v>
      </c>
      <c r="E27" s="295">
        <f>'t4'!AE36</f>
        <v>0</v>
      </c>
      <c r="F27" s="296">
        <f>'t12'!C27</f>
        <v>0</v>
      </c>
      <c r="G27" s="315" t="str">
        <f t="shared" si="1"/>
        <v>OK</v>
      </c>
    </row>
    <row r="28" spans="1:7" ht="12.75" x14ac:dyDescent="0.2">
      <c r="A28" s="112" t="str">
        <f>'t1'!A28</f>
        <v>POSIZIONE ECONOMICA B3  VIGILE DEL FUOCO &gt; 5 ANNI</v>
      </c>
      <c r="B28" s="86" t="str">
        <f>'t1'!B28</f>
        <v>034VF5</v>
      </c>
      <c r="C28" s="600">
        <f>('t1'!K28+'t1'!L28)</f>
        <v>99</v>
      </c>
      <c r="D28" s="295">
        <f>'t5'!U29+'t5'!V29</f>
        <v>0</v>
      </c>
      <c r="E28" s="295">
        <f>'t4'!AE37</f>
        <v>0</v>
      </c>
      <c r="F28" s="296">
        <f>'t12'!C28</f>
        <v>1120.1099999999999</v>
      </c>
      <c r="G28" s="315" t="str">
        <f t="shared" si="1"/>
        <v>OK</v>
      </c>
    </row>
    <row r="29" spans="1:7" ht="12.75" x14ac:dyDescent="0.2">
      <c r="A29" s="112" t="str">
        <f>'t1'!A29</f>
        <v>POSIZIONE ECONOMICA B2  VIGILE DEL FUOCO</v>
      </c>
      <c r="B29" s="86" t="str">
        <f>'t1'!B29</f>
        <v>032VF1</v>
      </c>
      <c r="C29" s="600">
        <f>('t1'!K29+'t1'!L29)</f>
        <v>19</v>
      </c>
      <c r="D29" s="295">
        <f>'t5'!U30+'t5'!V30</f>
        <v>0</v>
      </c>
      <c r="E29" s="295">
        <f>'t4'!AE38</f>
        <v>7</v>
      </c>
      <c r="F29" s="296">
        <f>'t12'!C29</f>
        <v>293.56</v>
      </c>
      <c r="G29" s="315" t="str">
        <f t="shared" si="1"/>
        <v>OK</v>
      </c>
    </row>
    <row r="30" spans="1:7" ht="12.75" x14ac:dyDescent="0.2">
      <c r="A30" s="112" t="str">
        <f>'t1'!A30</f>
        <v>POSIZIONE ECONOMICA A</v>
      </c>
      <c r="B30" s="86" t="str">
        <f>'t1'!B30</f>
        <v>022000</v>
      </c>
      <c r="C30" s="600">
        <f>('t1'!K30+'t1'!L30)</f>
        <v>220</v>
      </c>
      <c r="D30" s="295">
        <f>'t5'!U31+'t5'!V31</f>
        <v>18</v>
      </c>
      <c r="E30" s="295">
        <f>'t4'!AE39</f>
        <v>0</v>
      </c>
      <c r="F30" s="296">
        <f>'t12'!C30</f>
        <v>2530.66</v>
      </c>
      <c r="G30" s="315" t="str">
        <f t="shared" si="1"/>
        <v>OK</v>
      </c>
    </row>
    <row r="31" spans="1:7" ht="12.75" x14ac:dyDescent="0.2">
      <c r="A31" s="112" t="str">
        <f>'t1'!A31</f>
        <v>CONTRATTISTI</v>
      </c>
      <c r="B31" s="86" t="str">
        <f>'t1'!B31</f>
        <v>000061</v>
      </c>
      <c r="C31" s="600">
        <f>('t1'!K31+'t1'!L31)</f>
        <v>128</v>
      </c>
      <c r="D31" s="295">
        <f>'t5'!U32+'t5'!V32</f>
        <v>14</v>
      </c>
      <c r="E31" s="295">
        <f>'t4'!AE40</f>
        <v>0</v>
      </c>
      <c r="F31" s="296">
        <f>'t12'!C31</f>
        <v>1478.4</v>
      </c>
      <c r="G31" s="315" t="str">
        <f t="shared" si="1"/>
        <v>OK</v>
      </c>
    </row>
    <row r="32" spans="1:7" ht="12.75" x14ac:dyDescent="0.2">
      <c r="A32" s="112" t="str">
        <f>'t1'!A32</f>
        <v>SEGRETARIO GENERALE CCIAA</v>
      </c>
      <c r="B32" s="86" t="str">
        <f>'t1'!B32</f>
        <v>0D0104</v>
      </c>
      <c r="C32" s="600">
        <f>('t1'!K32+'t1'!L32)</f>
        <v>0</v>
      </c>
      <c r="D32" s="295">
        <f>'t5'!U33+'t5'!V33</f>
        <v>0</v>
      </c>
      <c r="E32" s="295">
        <f>'t4'!AE41</f>
        <v>0</v>
      </c>
      <c r="F32" s="296">
        <f>'t12'!C32</f>
        <v>0</v>
      </c>
      <c r="G32" s="315" t="str">
        <f t="shared" si="1"/>
        <v>OK</v>
      </c>
    </row>
    <row r="33" spans="1:7" ht="12.75" x14ac:dyDescent="0.2">
      <c r="A33" s="112" t="str">
        <f>'t1'!A33</f>
        <v>COLLABORATORE A TEMPO DETERMINATO</v>
      </c>
      <c r="B33" s="86" t="str">
        <f>'t1'!B33</f>
        <v>000096</v>
      </c>
      <c r="C33" s="600">
        <f>('t1'!K33+'t1'!L33)</f>
        <v>11</v>
      </c>
      <c r="D33" s="295">
        <f>'t5'!U34+'t5'!V34</f>
        <v>1</v>
      </c>
      <c r="E33" s="295">
        <f>'t4'!AE42</f>
        <v>0</v>
      </c>
      <c r="F33" s="296">
        <f>'t12'!C33</f>
        <v>124.64</v>
      </c>
      <c r="G33" s="315" t="str">
        <f t="shared" si="1"/>
        <v>OK</v>
      </c>
    </row>
  </sheetData>
  <sheetProtection password="DD41" sheet="1" formatColumns="0" selectLockedCells="1" selectUnlockedCells="1"/>
  <mergeCells count="2">
    <mergeCell ref="A1:G1"/>
    <mergeCell ref="D2:G2"/>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81" orientation="landscape" horizontalDpi="0"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1">
    <pageSetUpPr fitToPage="1"/>
  </sheetPr>
  <dimension ref="A1:I33"/>
  <sheetViews>
    <sheetView showGridLines="0" workbookViewId="0">
      <pane ySplit="5" topLeftCell="A7" activePane="bottomLeft" state="frozen"/>
      <selection activeCell="A2" sqref="A2"/>
      <selection pane="bottomLeft" activeCell="B5" sqref="B5"/>
    </sheetView>
  </sheetViews>
  <sheetFormatPr defaultRowHeight="11.25" x14ac:dyDescent="0.2"/>
  <cols>
    <col min="1" max="1" width="43.33203125" style="3" customWidth="1"/>
    <col min="2" max="2" width="11.33203125" style="2" customWidth="1"/>
    <col min="3" max="3" width="22.33203125" style="2" customWidth="1"/>
    <col min="4" max="4" width="26.6640625" style="313" customWidth="1"/>
    <col min="5" max="5" width="15.6640625" style="2" customWidth="1"/>
    <col min="6" max="6" width="9.33203125" style="89" customWidth="1"/>
  </cols>
  <sheetData>
    <row r="1" spans="1:9" s="3" customFormat="1" ht="43.5" customHeight="1" x14ac:dyDescent="0.2">
      <c r="A1" s="1486" t="str">
        <f>'t1'!A1</f>
        <v>REGIONE VALLE D'AOSTA - anno 2024</v>
      </c>
      <c r="B1" s="1486"/>
      <c r="C1" s="1486"/>
      <c r="D1" s="1486"/>
      <c r="E1" s="1486"/>
      <c r="I1"/>
    </row>
    <row r="2" spans="1:9" s="3" customFormat="1" ht="12.75" customHeight="1" x14ac:dyDescent="0.2">
      <c r="C2" s="1573"/>
      <c r="D2" s="1573"/>
      <c r="E2" s="1573"/>
      <c r="F2" s="274"/>
      <c r="I2"/>
    </row>
    <row r="3" spans="1:9" s="3" customFormat="1" ht="21" customHeight="1" x14ac:dyDescent="0.25">
      <c r="A3" s="168" t="s">
        <v>388</v>
      </c>
      <c r="B3" s="2"/>
      <c r="D3" s="314"/>
      <c r="E3" s="2"/>
    </row>
    <row r="4" spans="1:9" ht="81.75" customHeight="1" x14ac:dyDescent="0.15">
      <c r="A4" s="154" t="s">
        <v>229</v>
      </c>
      <c r="B4" s="155" t="s">
        <v>191</v>
      </c>
      <c r="C4" s="155" t="s">
        <v>313</v>
      </c>
      <c r="D4" s="350" t="s">
        <v>360</v>
      </c>
      <c r="E4" s="155" t="s">
        <v>335</v>
      </c>
    </row>
    <row r="5" spans="1:9" s="171" customFormat="1" ht="10.5" x14ac:dyDescent="0.15">
      <c r="A5" s="153"/>
      <c r="B5" s="166"/>
      <c r="C5" s="166" t="s">
        <v>193</v>
      </c>
      <c r="D5" s="351" t="s">
        <v>194</v>
      </c>
      <c r="E5" s="166"/>
      <c r="F5" s="170"/>
    </row>
    <row r="6" spans="1:9" ht="12.75" x14ac:dyDescent="0.2">
      <c r="A6" s="112" t="str">
        <f>'t1'!A6</f>
        <v>SEGRETARIO I FASCIA</v>
      </c>
      <c r="B6" s="86" t="str">
        <f>'t1'!B6</f>
        <v>0D0102</v>
      </c>
      <c r="C6" s="295">
        <f>'t13'!X6</f>
        <v>0</v>
      </c>
      <c r="D6" s="296">
        <f>('t3'!K6+'t3'!L6+'t3'!M6+'t3'!N6+'t3'!O6+'t3'!P6)+('t12'!C6/12)</f>
        <v>0</v>
      </c>
      <c r="E6" s="315" t="str">
        <f>IF(OR((NOT(C6)),(AND(C6&gt;=0,D6&gt;0))),"OK","ERRORE")</f>
        <v>OK</v>
      </c>
    </row>
    <row r="7" spans="1:9" ht="12.75" x14ac:dyDescent="0.2">
      <c r="A7" s="112" t="str">
        <f>'t1'!A7</f>
        <v>SEGRETARIO II FASCIA</v>
      </c>
      <c r="B7" s="86" t="str">
        <f>'t1'!B7</f>
        <v>0D0103</v>
      </c>
      <c r="C7" s="295">
        <f>'t13'!X7</f>
        <v>0</v>
      </c>
      <c r="D7" s="296">
        <f>('t3'!K7+'t3'!L7+'t3'!M7+'t3'!N7+'t3'!O7+'t3'!P7)+('t12'!C7/12)</f>
        <v>0</v>
      </c>
      <c r="E7" s="315" t="str">
        <f>IF(OR((NOT(C7)),(AND(C7&gt;=0,D7&gt;0))),"OK","ERRORE")</f>
        <v>OK</v>
      </c>
    </row>
    <row r="8" spans="1:9" ht="12.75" x14ac:dyDescent="0.2">
      <c r="A8" s="112" t="str">
        <f>'t1'!A8</f>
        <v>SEGRETARIO III FASCIA</v>
      </c>
      <c r="B8" s="86" t="str">
        <f>'t1'!B8</f>
        <v>0D0485</v>
      </c>
      <c r="C8" s="295">
        <f>'t13'!X8</f>
        <v>0</v>
      </c>
      <c r="D8" s="296">
        <f>('t3'!K8+'t3'!L8+'t3'!M8+'t3'!N8+'t3'!O8+'t3'!P8)+('t12'!C8/12)</f>
        <v>0</v>
      </c>
      <c r="E8" s="315" t="str">
        <f>IF(OR((NOT(C8)),(AND(C8&gt;=0,D8&gt;0))),"OK","ERRORE")</f>
        <v>OK</v>
      </c>
    </row>
    <row r="9" spans="1:9" ht="12.75" x14ac:dyDescent="0.2">
      <c r="A9" s="112" t="str">
        <f>'t1'!A9</f>
        <v>DIRIGENTI</v>
      </c>
      <c r="B9" s="86" t="str">
        <f>'t1'!B9</f>
        <v>0D0164</v>
      </c>
      <c r="C9" s="295">
        <f>'t13'!X9</f>
        <v>4014506</v>
      </c>
      <c r="D9" s="296">
        <f>('t3'!K9+'t3'!L9+'t3'!M9+'t3'!N9+'t3'!O9+'t3'!P9)+('t12'!C9/12)</f>
        <v>109.03</v>
      </c>
      <c r="E9" s="315" t="str">
        <f>IF(OR((NOT(C9)),(AND(C9&gt;=0,D9&gt;0))),"OK","ERRORE")</f>
        <v>OK</v>
      </c>
    </row>
    <row r="10" spans="1:9" ht="12.75" x14ac:dyDescent="0.2">
      <c r="A10" s="112" t="str">
        <f>'t1'!A10</f>
        <v>POSIZIONE ECONOMICA D</v>
      </c>
      <c r="B10" s="86" t="str">
        <f>'t1'!B10</f>
        <v>047000</v>
      </c>
      <c r="C10" s="295">
        <f>'t13'!X10</f>
        <v>2984680</v>
      </c>
      <c r="D10" s="296">
        <f>('t3'!K10+'t3'!L10+'t3'!M10+'t3'!N10+'t3'!O10+'t3'!P10)+('t12'!C10/12)</f>
        <v>417.81</v>
      </c>
      <c r="E10" s="315" t="str">
        <f t="shared" ref="E10:E25" si="0">IF(OR((NOT(C10)),(AND(C10&gt;=0,D10&gt;0))),"OK","ERRORE")</f>
        <v>OK</v>
      </c>
    </row>
    <row r="11" spans="1:9" ht="12.75" x14ac:dyDescent="0.2">
      <c r="A11" s="112" t="str">
        <f>'t1'!A11</f>
        <v>POSIZIONE ECONOMICA D - FORESTALE</v>
      </c>
      <c r="B11" s="86" t="str">
        <f>'t1'!B11</f>
        <v>047FOR</v>
      </c>
      <c r="C11" s="295">
        <f>'t13'!X11</f>
        <v>0</v>
      </c>
      <c r="D11" s="296">
        <f>('t3'!K11+'t3'!L11+'t3'!M11+'t3'!N11+'t3'!O11+'t3'!P11)+('t12'!C11/12)</f>
        <v>0</v>
      </c>
      <c r="E11" s="315" t="str">
        <f t="shared" si="0"/>
        <v>OK</v>
      </c>
    </row>
    <row r="12" spans="1:9" ht="12.75" x14ac:dyDescent="0.2">
      <c r="A12" s="112" t="str">
        <f>'t1'!A12</f>
        <v>POSIZIONE ECONOMICA D  ISPETTORE ANTINCENDI DIRETTORE-VVFF</v>
      </c>
      <c r="B12" s="86" t="str">
        <f>'t1'!B12</f>
        <v>047IS3</v>
      </c>
      <c r="C12" s="295">
        <f>'t13'!X12</f>
        <v>2895</v>
      </c>
      <c r="D12" s="296">
        <f>('t3'!K12+'t3'!L12+'t3'!M12+'t3'!N12+'t3'!O12+'t3'!P12)+('t12'!C12/12)</f>
        <v>0.08</v>
      </c>
      <c r="E12" s="315" t="str">
        <f t="shared" si="0"/>
        <v>OK</v>
      </c>
    </row>
    <row r="13" spans="1:9" ht="12.75" x14ac:dyDescent="0.2">
      <c r="A13" s="112" t="str">
        <f>'t1'!A13</f>
        <v>POSIZIONE ECONOMICA D  ISPETTORE ANTINCENDI  VVFF</v>
      </c>
      <c r="B13" s="86" t="str">
        <f>'t1'!B13</f>
        <v>047IS2</v>
      </c>
      <c r="C13" s="295">
        <f>'t13'!X13</f>
        <v>113194</v>
      </c>
      <c r="D13" s="296">
        <f>('t3'!K13+'t3'!L13+'t3'!M13+'t3'!N13+'t3'!O13+'t3'!P13)+('t12'!C13/12)</f>
        <v>3.92</v>
      </c>
      <c r="E13" s="315" t="str">
        <f t="shared" si="0"/>
        <v>OK</v>
      </c>
    </row>
    <row r="14" spans="1:9" ht="12.75" x14ac:dyDescent="0.2">
      <c r="A14" s="112" t="str">
        <f>'t1'!A14</f>
        <v>POSIZIONE ECONOMICA C2</v>
      </c>
      <c r="B14" s="86" t="str">
        <f>'t1'!B14</f>
        <v>042000</v>
      </c>
      <c r="C14" s="295">
        <f>'t13'!X14</f>
        <v>3558358</v>
      </c>
      <c r="D14" s="296">
        <f>('t3'!K14+'t3'!L14+'t3'!M14+'t3'!N14+'t3'!O14+'t3'!P14)+('t12'!C14/12)</f>
        <v>652.41999999999996</v>
      </c>
      <c r="E14" s="315" t="str">
        <f t="shared" si="0"/>
        <v>OK</v>
      </c>
    </row>
    <row r="15" spans="1:9" ht="12.75" x14ac:dyDescent="0.2">
      <c r="A15" s="112" t="str">
        <f>'t1'!A15</f>
        <v>POSIZIONE ECONOMICA C1</v>
      </c>
      <c r="B15" s="86" t="str">
        <f>'t1'!B15</f>
        <v>040000</v>
      </c>
      <c r="C15" s="295">
        <f>'t13'!X15</f>
        <v>109162</v>
      </c>
      <c r="D15" s="296">
        <f>('t3'!K15+'t3'!L15+'t3'!M15+'t3'!N15+'t3'!O15+'t3'!P15)+('t12'!C15/12)</f>
        <v>25.11</v>
      </c>
      <c r="E15" s="315" t="str">
        <f t="shared" si="0"/>
        <v>OK</v>
      </c>
    </row>
    <row r="16" spans="1:9" ht="12.75" x14ac:dyDescent="0.2">
      <c r="A16" s="112" t="str">
        <f>'t1'!A16</f>
        <v>ISPETTORE FORESTALE C21F</v>
      </c>
      <c r="B16" s="86" t="str">
        <f>'t1'!B16</f>
        <v>042324</v>
      </c>
      <c r="C16" s="295">
        <f>'t13'!X16</f>
        <v>346891</v>
      </c>
      <c r="D16" s="296">
        <f>('t3'!K16+'t3'!L16+'t3'!M16+'t3'!N16+'t3'!O16+'t3'!P16)+('t12'!C16/12)</f>
        <v>17.93</v>
      </c>
      <c r="E16" s="315" t="str">
        <f t="shared" si="0"/>
        <v>OK</v>
      </c>
    </row>
    <row r="17" spans="1:5" ht="12.75" x14ac:dyDescent="0.2">
      <c r="A17" s="112" t="str">
        <f>'t1'!A17</f>
        <v>SOVRAINTENDENTE C1F</v>
      </c>
      <c r="B17" s="86" t="str">
        <f>'t1'!B17</f>
        <v>040211</v>
      </c>
      <c r="C17" s="295">
        <f>'t13'!X17</f>
        <v>410691</v>
      </c>
      <c r="D17" s="296">
        <f>('t3'!K17+'t3'!L17+'t3'!M17+'t3'!N17+'t3'!O17+'t3'!P17)+('t12'!C17/12)</f>
        <v>21.45</v>
      </c>
      <c r="E17" s="315" t="str">
        <f t="shared" si="0"/>
        <v>OK</v>
      </c>
    </row>
    <row r="18" spans="1:5" ht="12.75" x14ac:dyDescent="0.2">
      <c r="A18" s="112" t="str">
        <f>'t1'!A18</f>
        <v>POSIZIONE ECONOMICA C2  CAPO REPARTO  VVFF</v>
      </c>
      <c r="B18" s="86" t="str">
        <f>'t1'!B18</f>
        <v>042CR1</v>
      </c>
      <c r="C18" s="295">
        <f>'t13'!X18</f>
        <v>238284</v>
      </c>
      <c r="D18" s="296">
        <f>('t3'!K18+'t3'!L18+'t3'!M18+'t3'!N18+'t3'!O18+'t3'!P18)+('t12'!C18/12)</f>
        <v>11.12</v>
      </c>
      <c r="E18" s="315" t="str">
        <f t="shared" si="0"/>
        <v>OK</v>
      </c>
    </row>
    <row r="19" spans="1:5" ht="12.75" x14ac:dyDescent="0.2">
      <c r="A19" s="112" t="str">
        <f>'t1'!A19</f>
        <v>POSIZIONE ECONOMICA C2  COLLAB. TECNICO ANTINCENDI  VVFF</v>
      </c>
      <c r="B19" s="86" t="str">
        <f>'t1'!B19</f>
        <v>042CA0</v>
      </c>
      <c r="C19" s="295">
        <f>'t13'!X19</f>
        <v>164500</v>
      </c>
      <c r="D19" s="296">
        <f>('t3'!K19+'t3'!L19+'t3'!M19+'t3'!N19+'t3'!O19+'t3'!P19)+('t12'!C19/12)</f>
        <v>8</v>
      </c>
      <c r="E19" s="315" t="str">
        <f t="shared" si="0"/>
        <v>OK</v>
      </c>
    </row>
    <row r="20" spans="1:5" ht="12.75" x14ac:dyDescent="0.2">
      <c r="A20" s="112" t="str">
        <f>'t1'!A20</f>
        <v>POSIZIONE ECONOMICA C1  CAPO SQUADRA  VVFF</v>
      </c>
      <c r="B20" s="86" t="str">
        <f>'t1'!B20</f>
        <v>040CS1</v>
      </c>
      <c r="C20" s="295">
        <f>'t13'!X20</f>
        <v>618226</v>
      </c>
      <c r="D20" s="296">
        <f>('t3'!K20+'t3'!L20+'t3'!M20+'t3'!N20+'t3'!O20+'t3'!P20)+('t12'!C20/12)</f>
        <v>30.49</v>
      </c>
      <c r="E20" s="315" t="str">
        <f t="shared" si="0"/>
        <v>OK</v>
      </c>
    </row>
    <row r="21" spans="1:5" ht="12.75" x14ac:dyDescent="0.2">
      <c r="A21" s="112" t="str">
        <f>'t1'!A21</f>
        <v>POSIZIONE ECONOMICA B3</v>
      </c>
      <c r="B21" s="86" t="str">
        <f>'t1'!B21</f>
        <v>034000</v>
      </c>
      <c r="C21" s="295">
        <f>'t13'!X21</f>
        <v>65733</v>
      </c>
      <c r="D21" s="296">
        <f>('t3'!K21+'t3'!L21+'t3'!M21+'t3'!N21+'t3'!O21+'t3'!P21)+('t12'!C21/12)</f>
        <v>12</v>
      </c>
      <c r="E21" s="315" t="str">
        <f t="shared" si="0"/>
        <v>OK</v>
      </c>
    </row>
    <row r="22" spans="1:5" ht="12.75" x14ac:dyDescent="0.2">
      <c r="A22" s="112" t="str">
        <f>'t1'!A22</f>
        <v>POSIZIONE ECONOMICA B2S</v>
      </c>
      <c r="B22" s="86" t="str">
        <f>'t1'!B22</f>
        <v>033000</v>
      </c>
      <c r="C22" s="295">
        <f>'t13'!X22</f>
        <v>13386</v>
      </c>
      <c r="D22" s="296">
        <f>('t3'!K22+'t3'!L22+'t3'!M22+'t3'!N22+'t3'!O22+'t3'!P22)+('t12'!C22/12)</f>
        <v>4.83</v>
      </c>
      <c r="E22" s="315" t="str">
        <f t="shared" si="0"/>
        <v>OK</v>
      </c>
    </row>
    <row r="23" spans="1:5" ht="12.75" x14ac:dyDescent="0.2">
      <c r="A23" s="112" t="str">
        <f>'t1'!A23</f>
        <v>POSIZIONE ECONOMICA B2</v>
      </c>
      <c r="B23" s="86" t="str">
        <f>'t1'!B23</f>
        <v>032000</v>
      </c>
      <c r="C23" s="295">
        <f>'t13'!X23</f>
        <v>2371165</v>
      </c>
      <c r="D23" s="296">
        <f>('t3'!K23+'t3'!L23+'t3'!M23+'t3'!N23+'t3'!O23+'t3'!P23)+('t12'!C23/12)</f>
        <v>512.24</v>
      </c>
      <c r="E23" s="315" t="str">
        <f t="shared" si="0"/>
        <v>OK</v>
      </c>
    </row>
    <row r="24" spans="1:5" ht="12.75" x14ac:dyDescent="0.2">
      <c r="A24" s="112" t="str">
        <f>'t1'!A24</f>
        <v>POSIZIONE ECONOMICA B1</v>
      </c>
      <c r="B24" s="86" t="str">
        <f>'t1'!B24</f>
        <v>030000</v>
      </c>
      <c r="C24" s="295">
        <f>'t13'!X24</f>
        <v>114593</v>
      </c>
      <c r="D24" s="296">
        <f>('t3'!K24+'t3'!L24+'t3'!M24+'t3'!N24+'t3'!O24+'t3'!P24)+('t12'!C24/12)</f>
        <v>23.74</v>
      </c>
      <c r="E24" s="315" t="str">
        <f t="shared" si="0"/>
        <v>OK</v>
      </c>
    </row>
    <row r="25" spans="1:5" ht="12.75" x14ac:dyDescent="0.2">
      <c r="A25" s="112" t="str">
        <f>'t1'!A25</f>
        <v>POS. EC. B3-GUARDIA  FORESTALE 5 A.</v>
      </c>
      <c r="B25" s="86" t="str">
        <f>'t1'!B25</f>
        <v>034561</v>
      </c>
      <c r="C25" s="295">
        <f>'t13'!X25</f>
        <v>978822</v>
      </c>
      <c r="D25" s="296">
        <f>('t3'!K25+'t3'!L25+'t3'!M25+'t3'!N25+'t3'!O25+'t3'!P25)+('t12'!C25/12)</f>
        <v>44.01</v>
      </c>
      <c r="E25" s="315" t="str">
        <f t="shared" si="0"/>
        <v>OK</v>
      </c>
    </row>
    <row r="26" spans="1:5" ht="12.75" x14ac:dyDescent="0.2">
      <c r="A26" s="112" t="str">
        <f>'t1'!A26</f>
        <v>POS. EC. B2-GUARDIA  FORESTALE</v>
      </c>
      <c r="B26" s="86" t="str">
        <f>'t1'!B26</f>
        <v>032561</v>
      </c>
      <c r="C26" s="295">
        <f>'t13'!X26</f>
        <v>243863</v>
      </c>
      <c r="D26" s="296">
        <f>('t3'!K26+'t3'!L26+'t3'!M26+'t3'!N26+'t3'!O26+'t3'!P26)+('t12'!C26/12)</f>
        <v>19.260000000000002</v>
      </c>
      <c r="E26" s="315" t="str">
        <f t="shared" ref="E26:E33" si="1">IF(OR((NOT(C26)),(AND(C26&gt;=0,D26&gt;0))),"OK","ERRORE")</f>
        <v>OK</v>
      </c>
    </row>
    <row r="27" spans="1:5" ht="12.75" x14ac:dyDescent="0.2">
      <c r="A27" s="112" t="str">
        <f>'t1'!A27</f>
        <v>POSIZIONE ECONOMICA B1 - FORESTALE</v>
      </c>
      <c r="B27" s="86" t="str">
        <f>'t1'!B27</f>
        <v>030FOR</v>
      </c>
      <c r="C27" s="295">
        <f>'t13'!X27</f>
        <v>0</v>
      </c>
      <c r="D27" s="296">
        <f>('t3'!K27+'t3'!L27+'t3'!M27+'t3'!N27+'t3'!O27+'t3'!P27)+('t12'!C27/12)</f>
        <v>0</v>
      </c>
      <c r="E27" s="315" t="str">
        <f t="shared" si="1"/>
        <v>OK</v>
      </c>
    </row>
    <row r="28" spans="1:5" ht="12.75" x14ac:dyDescent="0.2">
      <c r="A28" s="112" t="str">
        <f>'t1'!A28</f>
        <v>POSIZIONE ECONOMICA B3  VIGILE DEL FUOCO &gt; 5 ANNI</v>
      </c>
      <c r="B28" s="86" t="str">
        <f>'t1'!B28</f>
        <v>034VF5</v>
      </c>
      <c r="C28" s="295">
        <f>'t13'!X28</f>
        <v>1463067</v>
      </c>
      <c r="D28" s="296">
        <f>('t3'!K28+'t3'!L28+'t3'!M28+'t3'!N28+'t3'!O28+'t3'!P28)+('t12'!C28/12)</f>
        <v>93.34</v>
      </c>
      <c r="E28" s="315" t="str">
        <f t="shared" si="1"/>
        <v>OK</v>
      </c>
    </row>
    <row r="29" spans="1:5" ht="12.75" x14ac:dyDescent="0.2">
      <c r="A29" s="112" t="str">
        <f>'t1'!A29</f>
        <v>POSIZIONE ECONOMICA B2  VIGILE DEL FUOCO</v>
      </c>
      <c r="B29" s="86" t="str">
        <f>'t1'!B29</f>
        <v>032VF1</v>
      </c>
      <c r="C29" s="295">
        <f>'t13'!X29</f>
        <v>338581</v>
      </c>
      <c r="D29" s="296">
        <f>('t3'!K29+'t3'!L29+'t3'!M29+'t3'!N29+'t3'!O29+'t3'!P29)+('t12'!C29/12)</f>
        <v>24.46</v>
      </c>
      <c r="E29" s="315" t="str">
        <f t="shared" si="1"/>
        <v>OK</v>
      </c>
    </row>
    <row r="30" spans="1:5" ht="12.75" x14ac:dyDescent="0.2">
      <c r="A30" s="112" t="str">
        <f>'t1'!A30</f>
        <v>POSIZIONE ECONOMICA A</v>
      </c>
      <c r="B30" s="86" t="str">
        <f>'t1'!B30</f>
        <v>022000</v>
      </c>
      <c r="C30" s="295">
        <f>'t13'!X30</f>
        <v>749163</v>
      </c>
      <c r="D30" s="296">
        <f>('t3'!K30+'t3'!L30+'t3'!M30+'t3'!N30+'t3'!O30+'t3'!P30)+('t12'!C30/12)</f>
        <v>210.89</v>
      </c>
      <c r="E30" s="315" t="str">
        <f t="shared" si="1"/>
        <v>OK</v>
      </c>
    </row>
    <row r="31" spans="1:5" ht="12.75" x14ac:dyDescent="0.2">
      <c r="A31" s="112" t="str">
        <f>'t1'!A31</f>
        <v>CONTRATTISTI</v>
      </c>
      <c r="B31" s="86" t="str">
        <f>'t1'!B31</f>
        <v>000061</v>
      </c>
      <c r="C31" s="295">
        <f>'t13'!X31</f>
        <v>167266</v>
      </c>
      <c r="D31" s="296">
        <f>('t3'!K31+'t3'!L31+'t3'!M31+'t3'!N31+'t3'!O31+'t3'!P31)+('t12'!C31/12)</f>
        <v>123.2</v>
      </c>
      <c r="E31" s="315" t="str">
        <f t="shared" si="1"/>
        <v>OK</v>
      </c>
    </row>
    <row r="32" spans="1:5" ht="12.75" x14ac:dyDescent="0.2">
      <c r="A32" s="112" t="str">
        <f>'t1'!A32</f>
        <v>SEGRETARIO GENERALE CCIAA</v>
      </c>
      <c r="B32" s="86" t="str">
        <f>'t1'!B32</f>
        <v>0D0104</v>
      </c>
      <c r="C32" s="295">
        <f>'t13'!X32</f>
        <v>0</v>
      </c>
      <c r="D32" s="296">
        <f>('t3'!K32+'t3'!L32+'t3'!M32+'t3'!N32+'t3'!O32+'t3'!P32)+('t12'!C32/12)</f>
        <v>0</v>
      </c>
      <c r="E32" s="315" t="str">
        <f t="shared" si="1"/>
        <v>OK</v>
      </c>
    </row>
    <row r="33" spans="1:5" ht="12.75" x14ac:dyDescent="0.2">
      <c r="A33" s="112" t="str">
        <f>'t1'!A33</f>
        <v>COLLABORATORE A TEMPO DETERMINATO</v>
      </c>
      <c r="B33" s="86" t="str">
        <f>'t1'!B33</f>
        <v>000096</v>
      </c>
      <c r="C33" s="295">
        <f>'t13'!X33</f>
        <v>28530</v>
      </c>
      <c r="D33" s="296">
        <f>('t3'!K33+'t3'!L33+'t3'!M33+'t3'!N33+'t3'!O33+'t3'!P33)+('t12'!C33/12)</f>
        <v>10.39</v>
      </c>
      <c r="E33" s="315" t="str">
        <f t="shared" si="1"/>
        <v>OK</v>
      </c>
    </row>
  </sheetData>
  <sheetProtection password="DD41" sheet="1" formatColumns="0" selectLockedCells="1" selectUnlockedCells="1"/>
  <mergeCells count="2">
    <mergeCell ref="A1:E1"/>
    <mergeCell ref="C2:E2"/>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80" orientation="landscape" horizontalDpi="0" verticalDpi="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8">
    <pageSetUpPr fitToPage="1"/>
  </sheetPr>
  <dimension ref="A1:N33"/>
  <sheetViews>
    <sheetView showGridLines="0" workbookViewId="0">
      <pane xSplit="2" ySplit="5" topLeftCell="C6" activePane="bottomRight" state="frozen"/>
      <selection activeCell="A2" sqref="A2"/>
      <selection pane="topRight" activeCell="A2" sqref="A2"/>
      <selection pane="bottomLeft" activeCell="A2" sqref="A2"/>
      <selection pane="bottomRight" activeCell="B2" sqref="B2"/>
    </sheetView>
  </sheetViews>
  <sheetFormatPr defaultRowHeight="11.25" x14ac:dyDescent="0.2"/>
  <cols>
    <col min="1" max="1" width="38.6640625" style="3" customWidth="1"/>
    <col min="2" max="2" width="10" style="2" customWidth="1"/>
    <col min="3" max="8" width="11.6640625" style="2" customWidth="1"/>
    <col min="9" max="9" width="13.6640625" style="2" customWidth="1"/>
    <col min="10" max="11" width="16.6640625" style="2" hidden="1" customWidth="1"/>
    <col min="12" max="12" width="85.6640625" customWidth="1"/>
  </cols>
  <sheetData>
    <row r="1" spans="1:14" s="3" customFormat="1" ht="43.5" customHeight="1" x14ac:dyDescent="0.2">
      <c r="A1" s="1486" t="str">
        <f>'t1'!A1</f>
        <v>REGIONE VALLE D'AOSTA - anno 2024</v>
      </c>
      <c r="B1" s="1486"/>
      <c r="C1" s="1486"/>
      <c r="D1" s="1486"/>
      <c r="E1" s="1486"/>
      <c r="F1" s="1486"/>
      <c r="G1" s="1486"/>
      <c r="H1" s="1486"/>
      <c r="I1" s="1486"/>
      <c r="J1" s="1486"/>
      <c r="K1" s="1486"/>
      <c r="N1"/>
    </row>
    <row r="2" spans="1:14" s="3" customFormat="1" ht="12.75" customHeight="1" x14ac:dyDescent="0.2">
      <c r="D2" s="1573"/>
      <c r="E2" s="1573"/>
      <c r="F2" s="1573"/>
      <c r="G2" s="1573"/>
      <c r="H2" s="1573"/>
      <c r="I2" s="1573"/>
      <c r="J2" s="1573"/>
      <c r="K2" s="1573"/>
      <c r="N2"/>
    </row>
    <row r="3" spans="1:14" s="3" customFormat="1" ht="21" customHeight="1" x14ac:dyDescent="0.25">
      <c r="A3" s="168" t="s">
        <v>661</v>
      </c>
      <c r="B3" s="2"/>
      <c r="C3" s="2"/>
    </row>
    <row r="4" spans="1:14" ht="45" x14ac:dyDescent="0.15">
      <c r="A4" s="154" t="s">
        <v>229</v>
      </c>
      <c r="B4" s="155" t="s">
        <v>191</v>
      </c>
      <c r="C4" s="155" t="s">
        <v>46</v>
      </c>
      <c r="D4" s="155" t="s">
        <v>47</v>
      </c>
      <c r="E4" s="155" t="s">
        <v>48</v>
      </c>
      <c r="F4" s="155" t="s">
        <v>49</v>
      </c>
      <c r="G4" s="155" t="s">
        <v>50</v>
      </c>
      <c r="H4" s="155" t="s">
        <v>51</v>
      </c>
      <c r="I4" s="155" t="s">
        <v>52</v>
      </c>
      <c r="J4" s="155" t="s">
        <v>53</v>
      </c>
      <c r="K4" s="155" t="s">
        <v>54</v>
      </c>
      <c r="L4" s="501" t="s">
        <v>478</v>
      </c>
    </row>
    <row r="5" spans="1:14" s="171" customFormat="1" ht="56.25" hidden="1" x14ac:dyDescent="0.15">
      <c r="A5" s="153"/>
      <c r="B5" s="166"/>
      <c r="C5" s="166" t="s">
        <v>193</v>
      </c>
      <c r="D5" s="166" t="s">
        <v>194</v>
      </c>
      <c r="E5" s="166" t="s">
        <v>195</v>
      </c>
      <c r="F5" s="166" t="s">
        <v>196</v>
      </c>
      <c r="G5" s="166" t="s">
        <v>197</v>
      </c>
      <c r="H5" s="166" t="s">
        <v>217</v>
      </c>
      <c r="I5" s="166"/>
      <c r="J5" s="552" t="s">
        <v>498</v>
      </c>
      <c r="K5" s="552" t="s">
        <v>616</v>
      </c>
      <c r="L5" s="554"/>
    </row>
    <row r="6" spans="1:14" ht="12.75" x14ac:dyDescent="0.2">
      <c r="A6" s="112" t="str">
        <f>'t1'!A6</f>
        <v>SEGRETARIO I FASCIA</v>
      </c>
      <c r="B6" s="86" t="str">
        <f>'t1'!B6</f>
        <v>0D0102</v>
      </c>
      <c r="C6" s="295">
        <f>'t11'!Y8+'t11'!Z8</f>
        <v>0</v>
      </c>
      <c r="D6" s="295">
        <f>'t1'!K6+'t1'!L6</f>
        <v>0</v>
      </c>
      <c r="E6" s="295">
        <f>'t3'!K6+'t3'!L6+'t3'!M6+'t3'!N6+'t3'!O6+'t3'!P6</f>
        <v>0</v>
      </c>
      <c r="F6" s="295">
        <f>'t4'!AE15</f>
        <v>0</v>
      </c>
      <c r="G6" s="293">
        <f>'t4'!C43</f>
        <v>0</v>
      </c>
      <c r="H6" s="295">
        <f>'t5'!U7+'t5'!V7</f>
        <v>0</v>
      </c>
      <c r="I6" s="315" t="str">
        <f>IF(AND(J6="OK",K6="OK"),"OK","ERRORE")</f>
        <v>OK</v>
      </c>
      <c r="J6" s="315" t="str">
        <f>IF(AND(C6&gt;0,D6=0,E6=0,F6=0,G6=0,H6=0),"KO","OK")</f>
        <v>OK</v>
      </c>
      <c r="K6" s="315" t="str">
        <f>IF(AND(C6=0,OR(D6&gt;0,E6&gt;0,F6&gt;0,G6&gt;0,H6&gt;0)),"KO","OK")</f>
        <v>OK</v>
      </c>
      <c r="L6" s="555" t="str">
        <f>IF(K6="KO",$K$5,IF(J6="KO",$J$5,""))</f>
        <v/>
      </c>
    </row>
    <row r="7" spans="1:14" ht="12.75" x14ac:dyDescent="0.2">
      <c r="A7" s="112" t="str">
        <f>'t1'!A7</f>
        <v>SEGRETARIO II FASCIA</v>
      </c>
      <c r="B7" s="86" t="str">
        <f>'t1'!B7</f>
        <v>0D0103</v>
      </c>
      <c r="C7" s="295">
        <f>'t11'!Y9+'t11'!Z9</f>
        <v>0</v>
      </c>
      <c r="D7" s="295">
        <f>'t1'!K7+'t1'!L7</f>
        <v>0</v>
      </c>
      <c r="E7" s="295">
        <f>'t3'!K7+'t3'!L7+'t3'!M7+'t3'!N7+'t3'!O7+'t3'!P7</f>
        <v>0</v>
      </c>
      <c r="F7" s="295">
        <f>'t4'!AE16</f>
        <v>0</v>
      </c>
      <c r="G7" s="293">
        <f>'t4'!D43</f>
        <v>0</v>
      </c>
      <c r="H7" s="295">
        <f>'t5'!U8+'t5'!V8</f>
        <v>0</v>
      </c>
      <c r="I7" s="315" t="str">
        <f>IF(AND(J7="OK",K7="OK"),"OK","ERRORE")</f>
        <v>OK</v>
      </c>
      <c r="J7" s="315" t="str">
        <f>IF(AND(C7&gt;0,D7=0,E7=0,F7=0,G7=0,H7=0),"KO","OK")</f>
        <v>OK</v>
      </c>
      <c r="K7" s="315" t="str">
        <f>IF(AND(C7=0,OR(D7&gt;0,E7&gt;0,F7&gt;0,G7&gt;0,H7&gt;0)),"KO","OK")</f>
        <v>OK</v>
      </c>
      <c r="L7" s="555" t="str">
        <f>IF(K7="KO",$K$5,IF(J7="KO",$J$5,""))</f>
        <v/>
      </c>
    </row>
    <row r="8" spans="1:14" ht="12.75" x14ac:dyDescent="0.2">
      <c r="A8" s="112" t="str">
        <f>'t1'!A8</f>
        <v>SEGRETARIO III FASCIA</v>
      </c>
      <c r="B8" s="86" t="str">
        <f>'t1'!B8</f>
        <v>0D0485</v>
      </c>
      <c r="C8" s="295">
        <f>'t11'!Y10+'t11'!Z10</f>
        <v>0</v>
      </c>
      <c r="D8" s="295">
        <f>'t1'!K8+'t1'!L8</f>
        <v>0</v>
      </c>
      <c r="E8" s="295">
        <f>'t3'!K8+'t3'!L8+'t3'!M8+'t3'!N8+'t3'!O8+'t3'!P8</f>
        <v>0</v>
      </c>
      <c r="F8" s="295">
        <f>'t4'!AE17</f>
        <v>0</v>
      </c>
      <c r="G8" s="293">
        <f>'t4'!E43</f>
        <v>0</v>
      </c>
      <c r="H8" s="295">
        <f>'t5'!U9+'t5'!V9</f>
        <v>0</v>
      </c>
      <c r="I8" s="315" t="str">
        <f>IF(AND(J8="OK",K8="OK"),"OK","ERRORE")</f>
        <v>OK</v>
      </c>
      <c r="J8" s="315" t="str">
        <f>IF(AND(C8&gt;0,D8=0,E8=0,F8=0,G8=0,H8=0),"KO","OK")</f>
        <v>OK</v>
      </c>
      <c r="K8" s="315" t="str">
        <f>IF(AND(C8=0,OR(D8&gt;0,E8&gt;0,F8&gt;0,G8&gt;0,H8&gt;0)),"KO","OK")</f>
        <v>OK</v>
      </c>
      <c r="L8" s="555" t="str">
        <f>IF(K8="KO",$K$5,IF(J8="KO",$J$5,""))</f>
        <v/>
      </c>
    </row>
    <row r="9" spans="1:14" ht="12.75" x14ac:dyDescent="0.2">
      <c r="A9" s="112" t="str">
        <f>'t1'!A9</f>
        <v>DIRIGENTI</v>
      </c>
      <c r="B9" s="86" t="str">
        <f>'t1'!B9</f>
        <v>0D0164</v>
      </c>
      <c r="C9" s="295">
        <f>'t11'!Y11+'t11'!Z11</f>
        <v>4171</v>
      </c>
      <c r="D9" s="295">
        <f>'t1'!K9+'t1'!L9</f>
        <v>112</v>
      </c>
      <c r="E9" s="295">
        <f>'t3'!K9+'t3'!L9+'t3'!M9+'t3'!N9+'t3'!O9+'t3'!P9</f>
        <v>0</v>
      </c>
      <c r="F9" s="295">
        <f>'t4'!AE18</f>
        <v>0</v>
      </c>
      <c r="G9" s="293">
        <f>'t4'!F43</f>
        <v>2</v>
      </c>
      <c r="H9" s="295">
        <f>'t5'!U10+'t5'!V10</f>
        <v>9</v>
      </c>
      <c r="I9" s="315" t="str">
        <f>IF(AND(J9="OK",K9="OK"),"OK","ERRORE")</f>
        <v>OK</v>
      </c>
      <c r="J9" s="315" t="str">
        <f>IF(AND(C9&gt;0,D9=0,E9=0,F9=0,G9=0,H9=0),"KO","OK")</f>
        <v>OK</v>
      </c>
      <c r="K9" s="315" t="str">
        <f>IF(AND(C9=0,OR(D9&gt;0,E9&gt;0,F9&gt;0,G9&gt;0,H9&gt;0)),"KO","OK")</f>
        <v>OK</v>
      </c>
      <c r="L9" s="555" t="str">
        <f>IF(K9="KO",$K$5,IF(J9="KO",$J$5,""))</f>
        <v/>
      </c>
    </row>
    <row r="10" spans="1:14" ht="12.75" x14ac:dyDescent="0.2">
      <c r="A10" s="112" t="str">
        <f>'t1'!A10</f>
        <v>POSIZIONE ECONOMICA D</v>
      </c>
      <c r="B10" s="86" t="str">
        <f>'t1'!B10</f>
        <v>047000</v>
      </c>
      <c r="C10" s="295">
        <f>'t11'!Y12+'t11'!Z12</f>
        <v>30241</v>
      </c>
      <c r="D10" s="295">
        <f>'t1'!K10+'t1'!L10</f>
        <v>460</v>
      </c>
      <c r="E10" s="295">
        <f>'t3'!K10+'t3'!L10+'t3'!M10+'t3'!N10+'t3'!O10+'t3'!P10</f>
        <v>0</v>
      </c>
      <c r="F10" s="295">
        <f>'t4'!AE19</f>
        <v>2</v>
      </c>
      <c r="G10" s="293">
        <f>'t4'!G43</f>
        <v>4</v>
      </c>
      <c r="H10" s="295">
        <f>'t5'!U11+'t5'!V11</f>
        <v>12</v>
      </c>
      <c r="I10" s="315" t="str">
        <f t="shared" ref="I10:I24" si="0">IF(AND(J10="OK",K10="OK"),"OK","ERRORE")</f>
        <v>OK</v>
      </c>
      <c r="J10" s="315" t="str">
        <f t="shared" ref="J10:J24" si="1">IF(AND(C10&gt;0,D10=0,E10=0,F10=0,G10=0,H10=0),"KO","OK")</f>
        <v>OK</v>
      </c>
      <c r="K10" s="315" t="str">
        <f t="shared" ref="K10:K24" si="2">IF(AND(C10=0,OR(D10&gt;0,E10&gt;0,F10&gt;0,G10&gt;0,H10&gt;0)),"KO","OK")</f>
        <v>OK</v>
      </c>
      <c r="L10" s="555" t="str">
        <f t="shared" ref="L10:L24" si="3">IF(K10="KO",$K$5,IF(J10="KO",$J$5,""))</f>
        <v/>
      </c>
    </row>
    <row r="11" spans="1:14" ht="12.75" x14ac:dyDescent="0.2">
      <c r="A11" s="112" t="str">
        <f>'t1'!A11</f>
        <v>POSIZIONE ECONOMICA D - FORESTALE</v>
      </c>
      <c r="B11" s="86" t="str">
        <f>'t1'!B11</f>
        <v>047FOR</v>
      </c>
      <c r="C11" s="295">
        <f>'t11'!Y13+'t11'!Z13</f>
        <v>0</v>
      </c>
      <c r="D11" s="295">
        <f>'t1'!K11+'t1'!L11</f>
        <v>0</v>
      </c>
      <c r="E11" s="295">
        <f>'t3'!K11+'t3'!L11+'t3'!M11+'t3'!N11+'t3'!O11+'t3'!P11</f>
        <v>0</v>
      </c>
      <c r="F11" s="295">
        <f>'t4'!AE20</f>
        <v>0</v>
      </c>
      <c r="G11" s="293">
        <f>'t4'!H43</f>
        <v>0</v>
      </c>
      <c r="H11" s="295">
        <f>'t5'!U12+'t5'!V12</f>
        <v>0</v>
      </c>
      <c r="I11" s="315" t="str">
        <f t="shared" si="0"/>
        <v>OK</v>
      </c>
      <c r="J11" s="315" t="str">
        <f t="shared" si="1"/>
        <v>OK</v>
      </c>
      <c r="K11" s="315" t="str">
        <f t="shared" si="2"/>
        <v>OK</v>
      </c>
      <c r="L11" s="555" t="str">
        <f t="shared" si="3"/>
        <v/>
      </c>
    </row>
    <row r="12" spans="1:14" ht="12.75" x14ac:dyDescent="0.2">
      <c r="A12" s="112" t="str">
        <f>'t1'!A12</f>
        <v>POSIZIONE ECONOMICA D  ISPETTORE ANTINCENDI DIRETTORE-VVFF</v>
      </c>
      <c r="B12" s="86" t="str">
        <f>'t1'!B12</f>
        <v>047IS3</v>
      </c>
      <c r="C12" s="295">
        <f>'t11'!Y14+'t11'!Z14</f>
        <v>0</v>
      </c>
      <c r="D12" s="295">
        <f>'t1'!K12+'t1'!L12</f>
        <v>0</v>
      </c>
      <c r="E12" s="295">
        <f>'t3'!K12+'t3'!L12+'t3'!M12+'t3'!N12+'t3'!O12+'t3'!P12</f>
        <v>0</v>
      </c>
      <c r="F12" s="295">
        <f>'t4'!AE21</f>
        <v>1</v>
      </c>
      <c r="G12" s="293">
        <f>'t4'!I43</f>
        <v>0</v>
      </c>
      <c r="H12" s="295">
        <f>'t5'!U13+'t5'!V13</f>
        <v>0</v>
      </c>
      <c r="I12" s="315" t="str">
        <f t="shared" si="0"/>
        <v>ERRORE</v>
      </c>
      <c r="J12" s="315" t="str">
        <f t="shared" si="1"/>
        <v>OK</v>
      </c>
      <c r="K12" s="315" t="str">
        <f t="shared" si="2"/>
        <v>KO</v>
      </c>
      <c r="L12" s="555" t="str">
        <f t="shared" si="3"/>
        <v>sono presenti unità in T1 o personale esterno in T3, ma non assenze in T11</v>
      </c>
    </row>
    <row r="13" spans="1:14" ht="12.75" x14ac:dyDescent="0.2">
      <c r="A13" s="112" t="str">
        <f>'t1'!A13</f>
        <v>POSIZIONE ECONOMICA D  ISPETTORE ANTINCENDI  VVFF</v>
      </c>
      <c r="B13" s="86" t="str">
        <f>'t1'!B13</f>
        <v>047IS2</v>
      </c>
      <c r="C13" s="295">
        <f>'t11'!Y15+'t11'!Z15</f>
        <v>180</v>
      </c>
      <c r="D13" s="295">
        <f>'t1'!K13+'t1'!L13</f>
        <v>5</v>
      </c>
      <c r="E13" s="295">
        <f>'t3'!K13+'t3'!L13+'t3'!M13+'t3'!N13+'t3'!O13+'t3'!P13</f>
        <v>0</v>
      </c>
      <c r="F13" s="295">
        <f>'t4'!AE22</f>
        <v>0</v>
      </c>
      <c r="G13" s="293">
        <f>'t4'!J43</f>
        <v>1</v>
      </c>
      <c r="H13" s="295">
        <f>'t5'!U14+'t5'!V14</f>
        <v>0</v>
      </c>
      <c r="I13" s="315" t="str">
        <f t="shared" si="0"/>
        <v>OK</v>
      </c>
      <c r="J13" s="315" t="str">
        <f t="shared" si="1"/>
        <v>OK</v>
      </c>
      <c r="K13" s="315" t="str">
        <f t="shared" si="2"/>
        <v>OK</v>
      </c>
      <c r="L13" s="555" t="str">
        <f t="shared" si="3"/>
        <v/>
      </c>
    </row>
    <row r="14" spans="1:14" ht="12.75" x14ac:dyDescent="0.2">
      <c r="A14" s="112" t="str">
        <f>'t1'!A14</f>
        <v>POSIZIONE ECONOMICA C2</v>
      </c>
      <c r="B14" s="86" t="str">
        <f>'t1'!B14</f>
        <v>042000</v>
      </c>
      <c r="C14" s="295">
        <f>'t11'!Y16+'t11'!Z16</f>
        <v>44282</v>
      </c>
      <c r="D14" s="295">
        <f>'t1'!K14+'t1'!L14</f>
        <v>766</v>
      </c>
      <c r="E14" s="295">
        <f>'t3'!K14+'t3'!L14+'t3'!M14+'t3'!N14+'t3'!O14+'t3'!P14</f>
        <v>0</v>
      </c>
      <c r="F14" s="295">
        <f>'t4'!AE23</f>
        <v>5</v>
      </c>
      <c r="G14" s="293">
        <f>'t4'!K43</f>
        <v>22</v>
      </c>
      <c r="H14" s="295">
        <f>'t5'!U15+'t5'!V15</f>
        <v>31</v>
      </c>
      <c r="I14" s="315" t="str">
        <f t="shared" si="0"/>
        <v>OK</v>
      </c>
      <c r="J14" s="315" t="str">
        <f t="shared" si="1"/>
        <v>OK</v>
      </c>
      <c r="K14" s="315" t="str">
        <f t="shared" si="2"/>
        <v>OK</v>
      </c>
      <c r="L14" s="555" t="str">
        <f t="shared" si="3"/>
        <v/>
      </c>
    </row>
    <row r="15" spans="1:14" ht="12.75" x14ac:dyDescent="0.2">
      <c r="A15" s="112" t="str">
        <f>'t1'!A15</f>
        <v>POSIZIONE ECONOMICA C1</v>
      </c>
      <c r="B15" s="86" t="str">
        <f>'t1'!B15</f>
        <v>040000</v>
      </c>
      <c r="C15" s="295">
        <f>'t11'!Y17+'t11'!Z17</f>
        <v>1753</v>
      </c>
      <c r="D15" s="295">
        <f>'t1'!K15+'t1'!L15</f>
        <v>25</v>
      </c>
      <c r="E15" s="295">
        <f>'t3'!K15+'t3'!L15+'t3'!M15+'t3'!N15+'t3'!O15+'t3'!P15</f>
        <v>0</v>
      </c>
      <c r="F15" s="295">
        <f>'t4'!AE24</f>
        <v>2</v>
      </c>
      <c r="G15" s="293">
        <f>'t4'!L43</f>
        <v>0</v>
      </c>
      <c r="H15" s="295">
        <f>'t5'!U16+'t5'!V16</f>
        <v>0</v>
      </c>
      <c r="I15" s="315" t="str">
        <f t="shared" si="0"/>
        <v>OK</v>
      </c>
      <c r="J15" s="315" t="str">
        <f t="shared" si="1"/>
        <v>OK</v>
      </c>
      <c r="K15" s="315" t="str">
        <f t="shared" si="2"/>
        <v>OK</v>
      </c>
      <c r="L15" s="555" t="str">
        <f t="shared" si="3"/>
        <v/>
      </c>
    </row>
    <row r="16" spans="1:14" ht="12.75" x14ac:dyDescent="0.2">
      <c r="A16" s="112" t="str">
        <f>'t1'!A16</f>
        <v>ISPETTORE FORESTALE C21F</v>
      </c>
      <c r="B16" s="86" t="str">
        <f>'t1'!B16</f>
        <v>042324</v>
      </c>
      <c r="C16" s="295">
        <f>'t11'!Y18+'t11'!Z18</f>
        <v>758</v>
      </c>
      <c r="D16" s="295">
        <f>'t1'!K16+'t1'!L16</f>
        <v>19</v>
      </c>
      <c r="E16" s="295">
        <f>'t3'!K16+'t3'!L16+'t3'!M16+'t3'!N16+'t3'!O16+'t3'!P16</f>
        <v>0</v>
      </c>
      <c r="F16" s="295">
        <f>'t4'!AE25</f>
        <v>0</v>
      </c>
      <c r="G16" s="293">
        <f>'t4'!M43</f>
        <v>0</v>
      </c>
      <c r="H16" s="295">
        <f>'t5'!U17+'t5'!V17</f>
        <v>1</v>
      </c>
      <c r="I16" s="315" t="str">
        <f t="shared" si="0"/>
        <v>OK</v>
      </c>
      <c r="J16" s="315" t="str">
        <f t="shared" si="1"/>
        <v>OK</v>
      </c>
      <c r="K16" s="315" t="str">
        <f t="shared" si="2"/>
        <v>OK</v>
      </c>
      <c r="L16" s="555" t="str">
        <f t="shared" si="3"/>
        <v/>
      </c>
    </row>
    <row r="17" spans="1:12" ht="12.75" x14ac:dyDescent="0.2">
      <c r="A17" s="112" t="str">
        <f>'t1'!A17</f>
        <v>SOVRAINTENDENTE C1F</v>
      </c>
      <c r="B17" s="86" t="str">
        <f>'t1'!B17</f>
        <v>040211</v>
      </c>
      <c r="C17" s="295">
        <f>'t11'!Y19+'t11'!Z19</f>
        <v>900</v>
      </c>
      <c r="D17" s="295">
        <f>'t1'!K17+'t1'!L17</f>
        <v>27</v>
      </c>
      <c r="E17" s="295">
        <f>'t3'!K17+'t3'!L17+'t3'!M17+'t3'!N17+'t3'!O17+'t3'!P17</f>
        <v>0</v>
      </c>
      <c r="F17" s="295">
        <f>'t4'!AE26</f>
        <v>0</v>
      </c>
      <c r="G17" s="293">
        <f>'t4'!N43</f>
        <v>7</v>
      </c>
      <c r="H17" s="295">
        <f>'t5'!U18+'t5'!V18</f>
        <v>1</v>
      </c>
      <c r="I17" s="315" t="str">
        <f t="shared" si="0"/>
        <v>OK</v>
      </c>
      <c r="J17" s="315" t="str">
        <f t="shared" si="1"/>
        <v>OK</v>
      </c>
      <c r="K17" s="315" t="str">
        <f t="shared" si="2"/>
        <v>OK</v>
      </c>
      <c r="L17" s="555" t="str">
        <f t="shared" si="3"/>
        <v/>
      </c>
    </row>
    <row r="18" spans="1:12" ht="12.75" x14ac:dyDescent="0.2">
      <c r="A18" s="112" t="str">
        <f>'t1'!A18</f>
        <v>POSIZIONE ECONOMICA C2  CAPO REPARTO  VVFF</v>
      </c>
      <c r="B18" s="86" t="str">
        <f>'t1'!B18</f>
        <v>042CR1</v>
      </c>
      <c r="C18" s="295">
        <f>'t11'!Y20+'t11'!Z20</f>
        <v>390</v>
      </c>
      <c r="D18" s="295">
        <f>'t1'!K18+'t1'!L18</f>
        <v>11</v>
      </c>
      <c r="E18" s="295">
        <f>'t3'!K18+'t3'!L18+'t3'!M18+'t3'!N18+'t3'!O18+'t3'!P18</f>
        <v>0</v>
      </c>
      <c r="F18" s="295">
        <f>'t4'!AE27</f>
        <v>0</v>
      </c>
      <c r="G18" s="293">
        <f>'t4'!O43</f>
        <v>0</v>
      </c>
      <c r="H18" s="295">
        <f>'t5'!U19+'t5'!V19</f>
        <v>1</v>
      </c>
      <c r="I18" s="315" t="str">
        <f t="shared" si="0"/>
        <v>OK</v>
      </c>
      <c r="J18" s="315" t="str">
        <f t="shared" si="1"/>
        <v>OK</v>
      </c>
      <c r="K18" s="315" t="str">
        <f t="shared" si="2"/>
        <v>OK</v>
      </c>
      <c r="L18" s="555" t="str">
        <f t="shared" si="3"/>
        <v/>
      </c>
    </row>
    <row r="19" spans="1:12" ht="12.75" x14ac:dyDescent="0.2">
      <c r="A19" s="112" t="str">
        <f>'t1'!A19</f>
        <v>POSIZIONE ECONOMICA C2  COLLAB. TECNICO ANTINCENDI  VVFF</v>
      </c>
      <c r="B19" s="86" t="str">
        <f>'t1'!B19</f>
        <v>042CA0</v>
      </c>
      <c r="C19" s="295">
        <f>'t11'!Y21+'t11'!Z21</f>
        <v>300</v>
      </c>
      <c r="D19" s="295">
        <f>'t1'!K19+'t1'!L19</f>
        <v>8</v>
      </c>
      <c r="E19" s="295">
        <f>'t3'!K19+'t3'!L19+'t3'!M19+'t3'!N19+'t3'!O19+'t3'!P19</f>
        <v>0</v>
      </c>
      <c r="F19" s="295">
        <f>'t4'!AE28</f>
        <v>0</v>
      </c>
      <c r="G19" s="293">
        <f>'t4'!P43</f>
        <v>0</v>
      </c>
      <c r="H19" s="295">
        <f>'t5'!U20+'t5'!V20</f>
        <v>0</v>
      </c>
      <c r="I19" s="315" t="str">
        <f t="shared" si="0"/>
        <v>OK</v>
      </c>
      <c r="J19" s="315" t="str">
        <f t="shared" si="1"/>
        <v>OK</v>
      </c>
      <c r="K19" s="315" t="str">
        <f t="shared" si="2"/>
        <v>OK</v>
      </c>
      <c r="L19" s="555" t="str">
        <f t="shared" si="3"/>
        <v/>
      </c>
    </row>
    <row r="20" spans="1:12" ht="12.75" x14ac:dyDescent="0.2">
      <c r="A20" s="112" t="str">
        <f>'t1'!A20</f>
        <v>POSIZIONE ECONOMICA C1  CAPO SQUADRA  VVFF</v>
      </c>
      <c r="B20" s="86" t="str">
        <f>'t1'!B20</f>
        <v>040CS1</v>
      </c>
      <c r="C20" s="295">
        <f>'t11'!Y22+'t11'!Z22</f>
        <v>1049</v>
      </c>
      <c r="D20" s="295">
        <f>'t1'!K20+'t1'!L20</f>
        <v>31</v>
      </c>
      <c r="E20" s="295">
        <f>'t3'!K20+'t3'!L20+'t3'!M20+'t3'!N20+'t3'!O20+'t3'!P20</f>
        <v>0</v>
      </c>
      <c r="F20" s="295">
        <f>'t4'!AE29</f>
        <v>0</v>
      </c>
      <c r="G20" s="293">
        <f>'t4'!Q43</f>
        <v>0</v>
      </c>
      <c r="H20" s="295">
        <f>'t5'!U21+'t5'!V21</f>
        <v>2</v>
      </c>
      <c r="I20" s="315" t="str">
        <f t="shared" si="0"/>
        <v>OK</v>
      </c>
      <c r="J20" s="315" t="str">
        <f t="shared" si="1"/>
        <v>OK</v>
      </c>
      <c r="K20" s="315" t="str">
        <f t="shared" si="2"/>
        <v>OK</v>
      </c>
      <c r="L20" s="555" t="str">
        <f t="shared" si="3"/>
        <v/>
      </c>
    </row>
    <row r="21" spans="1:12" ht="12.75" x14ac:dyDescent="0.2">
      <c r="A21" s="112" t="str">
        <f>'t1'!A21</f>
        <v>POSIZIONE ECONOMICA B3</v>
      </c>
      <c r="B21" s="86" t="str">
        <f>'t1'!B21</f>
        <v>034000</v>
      </c>
      <c r="C21" s="295">
        <f>'t11'!Y23+'t11'!Z23</f>
        <v>555</v>
      </c>
      <c r="D21" s="295">
        <f>'t1'!K21+'t1'!L21</f>
        <v>13</v>
      </c>
      <c r="E21" s="295">
        <f>'t3'!K21+'t3'!L21+'t3'!M21+'t3'!N21+'t3'!O21+'t3'!P21</f>
        <v>0</v>
      </c>
      <c r="F21" s="295">
        <f>'t4'!AE30</f>
        <v>1</v>
      </c>
      <c r="G21" s="293">
        <f>'t4'!R43</f>
        <v>2</v>
      </c>
      <c r="H21" s="295">
        <f>'t5'!U22+'t5'!V22</f>
        <v>0</v>
      </c>
      <c r="I21" s="315" t="str">
        <f t="shared" si="0"/>
        <v>OK</v>
      </c>
      <c r="J21" s="315" t="str">
        <f t="shared" si="1"/>
        <v>OK</v>
      </c>
      <c r="K21" s="315" t="str">
        <f t="shared" si="2"/>
        <v>OK</v>
      </c>
      <c r="L21" s="555" t="str">
        <f t="shared" si="3"/>
        <v/>
      </c>
    </row>
    <row r="22" spans="1:12" ht="12.75" x14ac:dyDescent="0.2">
      <c r="A22" s="112" t="str">
        <f>'t1'!A22</f>
        <v>POSIZIONE ECONOMICA B2S</v>
      </c>
      <c r="B22" s="86" t="str">
        <f>'t1'!B22</f>
        <v>033000</v>
      </c>
      <c r="C22" s="295">
        <f>'t11'!Y24+'t11'!Z24</f>
        <v>248</v>
      </c>
      <c r="D22" s="295">
        <f>'t1'!K22+'t1'!L22</f>
        <v>5</v>
      </c>
      <c r="E22" s="295">
        <f>'t3'!K22+'t3'!L22+'t3'!M22+'t3'!N22+'t3'!O22+'t3'!P22</f>
        <v>0</v>
      </c>
      <c r="F22" s="295">
        <f>'t4'!AE31</f>
        <v>0</v>
      </c>
      <c r="G22" s="293">
        <f>'t4'!S43</f>
        <v>0</v>
      </c>
      <c r="H22" s="295">
        <f>'t5'!U23+'t5'!V23</f>
        <v>0</v>
      </c>
      <c r="I22" s="315" t="str">
        <f t="shared" si="0"/>
        <v>OK</v>
      </c>
      <c r="J22" s="315" t="str">
        <f t="shared" si="1"/>
        <v>OK</v>
      </c>
      <c r="K22" s="315" t="str">
        <f t="shared" si="2"/>
        <v>OK</v>
      </c>
      <c r="L22" s="555" t="str">
        <f t="shared" si="3"/>
        <v/>
      </c>
    </row>
    <row r="23" spans="1:12" ht="12.75" x14ac:dyDescent="0.2">
      <c r="A23" s="112" t="str">
        <f>'t1'!A23</f>
        <v>POSIZIONE ECONOMICA B2</v>
      </c>
      <c r="B23" s="86" t="str">
        <f>'t1'!B23</f>
        <v>032000</v>
      </c>
      <c r="C23" s="295">
        <f>'t11'!Y25+'t11'!Z25</f>
        <v>33408</v>
      </c>
      <c r="D23" s="295">
        <f>'t1'!K23+'t1'!L23</f>
        <v>516</v>
      </c>
      <c r="E23" s="295">
        <f>'t3'!K23+'t3'!L23+'t3'!M23+'t3'!N23+'t3'!O23+'t3'!P23</f>
        <v>0</v>
      </c>
      <c r="F23" s="295">
        <f>'t4'!AE32</f>
        <v>23</v>
      </c>
      <c r="G23" s="293">
        <f>'t4'!T43</f>
        <v>1</v>
      </c>
      <c r="H23" s="295">
        <f>'t5'!U24+'t5'!V24</f>
        <v>38</v>
      </c>
      <c r="I23" s="315" t="str">
        <f t="shared" si="0"/>
        <v>OK</v>
      </c>
      <c r="J23" s="315" t="str">
        <f t="shared" si="1"/>
        <v>OK</v>
      </c>
      <c r="K23" s="315" t="str">
        <f t="shared" si="2"/>
        <v>OK</v>
      </c>
      <c r="L23" s="555" t="str">
        <f t="shared" si="3"/>
        <v/>
      </c>
    </row>
    <row r="24" spans="1:12" ht="12.75" x14ac:dyDescent="0.2">
      <c r="A24" s="112" t="str">
        <f>'t1'!A24</f>
        <v>POSIZIONE ECONOMICA B1</v>
      </c>
      <c r="B24" s="86" t="str">
        <f>'t1'!B24</f>
        <v>030000</v>
      </c>
      <c r="C24" s="295">
        <f>'t11'!Y26+'t11'!Z26</f>
        <v>1161</v>
      </c>
      <c r="D24" s="295">
        <f>'t1'!K24+'t1'!L24</f>
        <v>23</v>
      </c>
      <c r="E24" s="295">
        <f>'t3'!K24+'t3'!L24+'t3'!M24+'t3'!N24+'t3'!O24+'t3'!P24</f>
        <v>0</v>
      </c>
      <c r="F24" s="295">
        <f>'t4'!AE33</f>
        <v>0</v>
      </c>
      <c r="G24" s="293">
        <f>'t4'!U43</f>
        <v>0</v>
      </c>
      <c r="H24" s="295">
        <f>'t5'!U25+'t5'!V25</f>
        <v>5</v>
      </c>
      <c r="I24" s="315" t="str">
        <f t="shared" si="0"/>
        <v>OK</v>
      </c>
      <c r="J24" s="315" t="str">
        <f t="shared" si="1"/>
        <v>OK</v>
      </c>
      <c r="K24" s="315" t="str">
        <f t="shared" si="2"/>
        <v>OK</v>
      </c>
      <c r="L24" s="555" t="str">
        <f t="shared" si="3"/>
        <v/>
      </c>
    </row>
    <row r="25" spans="1:12" ht="12.75" x14ac:dyDescent="0.2">
      <c r="A25" s="112" t="str">
        <f>'t1'!A25</f>
        <v>POS. EC. B3-GUARDIA  FORESTALE 5 A.</v>
      </c>
      <c r="B25" s="86" t="str">
        <f>'t1'!B25</f>
        <v>034561</v>
      </c>
      <c r="C25" s="295">
        <f>'t11'!Y27+'t11'!Z27</f>
        <v>1624</v>
      </c>
      <c r="D25" s="295">
        <f>'t1'!K25+'t1'!L25</f>
        <v>41</v>
      </c>
      <c r="E25" s="295">
        <f>'t3'!K25+'t3'!L25+'t3'!M25+'t3'!N25+'t3'!O25+'t3'!P25</f>
        <v>0</v>
      </c>
      <c r="F25" s="295">
        <f>'t4'!AE34</f>
        <v>1</v>
      </c>
      <c r="G25" s="293">
        <f>'t4'!U44</f>
        <v>0</v>
      </c>
      <c r="H25" s="295">
        <f>'t5'!U26+'t5'!V26</f>
        <v>5</v>
      </c>
      <c r="I25" s="315" t="str">
        <f t="shared" ref="I25:I33" si="4">IF(AND(J25="OK",K25="OK"),"OK","ERRORE")</f>
        <v>OK</v>
      </c>
      <c r="J25" s="315" t="str">
        <f t="shared" ref="J25:J33" si="5">IF(AND(C25&gt;0,D25=0,E25=0,F25=0,G25=0,H25=0),"KO","OK")</f>
        <v>OK</v>
      </c>
      <c r="K25" s="315" t="str">
        <f t="shared" ref="K25:K33" si="6">IF(AND(C25=0,OR(D25&gt;0,E25&gt;0,F25&gt;0,G25&gt;0,H25&gt;0)),"KO","OK")</f>
        <v>OK</v>
      </c>
      <c r="L25" s="555" t="str">
        <f t="shared" ref="L25:L33" si="7">IF(K25="KO",$K$5,IF(J25="KO",$J$5,""))</f>
        <v/>
      </c>
    </row>
    <row r="26" spans="1:12" ht="12.75" x14ac:dyDescent="0.2">
      <c r="A26" s="112" t="str">
        <f>'t1'!A26</f>
        <v>POS. EC. B2-GUARDIA  FORESTALE</v>
      </c>
      <c r="B26" s="86" t="str">
        <f>'t1'!B26</f>
        <v>032561</v>
      </c>
      <c r="C26" s="295">
        <f>'t11'!Y28+'t11'!Z28</f>
        <v>1201</v>
      </c>
      <c r="D26" s="295">
        <f>'t1'!K26+'t1'!L26</f>
        <v>24</v>
      </c>
      <c r="E26" s="295">
        <f>'t3'!K26+'t3'!L26+'t3'!M26+'t3'!N26+'t3'!O26+'t3'!P26</f>
        <v>0</v>
      </c>
      <c r="F26" s="295">
        <f>'t4'!AE35</f>
        <v>6</v>
      </c>
      <c r="G26" s="293">
        <f>'t4'!U45</f>
        <v>0</v>
      </c>
      <c r="H26" s="295">
        <f>'t5'!U27+'t5'!V27</f>
        <v>0</v>
      </c>
      <c r="I26" s="315" t="str">
        <f t="shared" si="4"/>
        <v>OK</v>
      </c>
      <c r="J26" s="315" t="str">
        <f t="shared" si="5"/>
        <v>OK</v>
      </c>
      <c r="K26" s="315" t="str">
        <f t="shared" si="6"/>
        <v>OK</v>
      </c>
      <c r="L26" s="555" t="str">
        <f t="shared" si="7"/>
        <v/>
      </c>
    </row>
    <row r="27" spans="1:12" ht="12.75" x14ac:dyDescent="0.2">
      <c r="A27" s="112" t="str">
        <f>'t1'!A27</f>
        <v>POSIZIONE ECONOMICA B1 - FORESTALE</v>
      </c>
      <c r="B27" s="86" t="str">
        <f>'t1'!B27</f>
        <v>030FOR</v>
      </c>
      <c r="C27" s="295">
        <f>'t11'!Y29+'t11'!Z29</f>
        <v>0</v>
      </c>
      <c r="D27" s="295">
        <f>'t1'!K27+'t1'!L27</f>
        <v>0</v>
      </c>
      <c r="E27" s="295">
        <f>'t3'!K27+'t3'!L27+'t3'!M27+'t3'!N27+'t3'!O27+'t3'!P27</f>
        <v>0</v>
      </c>
      <c r="F27" s="295">
        <f>'t4'!AE36</f>
        <v>0</v>
      </c>
      <c r="G27" s="293">
        <f>'t4'!U46</f>
        <v>0</v>
      </c>
      <c r="H27" s="295">
        <f>'t5'!U28+'t5'!V28</f>
        <v>0</v>
      </c>
      <c r="I27" s="315" t="str">
        <f t="shared" si="4"/>
        <v>OK</v>
      </c>
      <c r="J27" s="315" t="str">
        <f t="shared" si="5"/>
        <v>OK</v>
      </c>
      <c r="K27" s="315" t="str">
        <f t="shared" si="6"/>
        <v>OK</v>
      </c>
      <c r="L27" s="555" t="str">
        <f t="shared" si="7"/>
        <v/>
      </c>
    </row>
    <row r="28" spans="1:12" ht="12.75" x14ac:dyDescent="0.2">
      <c r="A28" s="112" t="str">
        <f>'t1'!A28</f>
        <v>POSIZIONE ECONOMICA B3  VIGILE DEL FUOCO &gt; 5 ANNI</v>
      </c>
      <c r="B28" s="86" t="str">
        <f>'t1'!B28</f>
        <v>034VF5</v>
      </c>
      <c r="C28" s="295">
        <f>'t11'!Y30+'t11'!Z30</f>
        <v>2272</v>
      </c>
      <c r="D28" s="295">
        <f>'t1'!K28+'t1'!L28</f>
        <v>99</v>
      </c>
      <c r="E28" s="295">
        <f>'t3'!K28+'t3'!L28+'t3'!M28+'t3'!N28+'t3'!O28+'t3'!P28</f>
        <v>0</v>
      </c>
      <c r="F28" s="295">
        <f>'t4'!AE37</f>
        <v>0</v>
      </c>
      <c r="G28" s="293">
        <f>'t4'!U47</f>
        <v>0</v>
      </c>
      <c r="H28" s="295">
        <f>'t5'!U29+'t5'!V29</f>
        <v>0</v>
      </c>
      <c r="I28" s="315" t="str">
        <f t="shared" si="4"/>
        <v>OK</v>
      </c>
      <c r="J28" s="315" t="str">
        <f t="shared" si="5"/>
        <v>OK</v>
      </c>
      <c r="K28" s="315" t="str">
        <f t="shared" si="6"/>
        <v>OK</v>
      </c>
      <c r="L28" s="555" t="str">
        <f t="shared" si="7"/>
        <v/>
      </c>
    </row>
    <row r="29" spans="1:12" ht="12.75" x14ac:dyDescent="0.2">
      <c r="A29" s="112" t="str">
        <f>'t1'!A29</f>
        <v>POSIZIONE ECONOMICA B2  VIGILE DEL FUOCO</v>
      </c>
      <c r="B29" s="86" t="str">
        <f>'t1'!B29</f>
        <v>032VF1</v>
      </c>
      <c r="C29" s="295">
        <f>'t11'!Y31+'t11'!Z31</f>
        <v>952</v>
      </c>
      <c r="D29" s="295">
        <f>'t1'!K29+'t1'!L29</f>
        <v>19</v>
      </c>
      <c r="E29" s="295">
        <f>'t3'!K29+'t3'!L29+'t3'!M29+'t3'!N29+'t3'!O29+'t3'!P29</f>
        <v>0</v>
      </c>
      <c r="F29" s="295">
        <f>'t4'!AE38</f>
        <v>7</v>
      </c>
      <c r="G29" s="293">
        <f>'t4'!U48</f>
        <v>0</v>
      </c>
      <c r="H29" s="295">
        <f>'t5'!U30+'t5'!V30</f>
        <v>0</v>
      </c>
      <c r="I29" s="315" t="str">
        <f t="shared" si="4"/>
        <v>OK</v>
      </c>
      <c r="J29" s="315" t="str">
        <f t="shared" si="5"/>
        <v>OK</v>
      </c>
      <c r="K29" s="315" t="str">
        <f t="shared" si="6"/>
        <v>OK</v>
      </c>
      <c r="L29" s="555" t="str">
        <f t="shared" si="7"/>
        <v/>
      </c>
    </row>
    <row r="30" spans="1:12" ht="12.75" x14ac:dyDescent="0.2">
      <c r="A30" s="112" t="str">
        <f>'t1'!A30</f>
        <v>POSIZIONE ECONOMICA A</v>
      </c>
      <c r="B30" s="86" t="str">
        <f>'t1'!B30</f>
        <v>022000</v>
      </c>
      <c r="C30" s="295">
        <f>'t11'!Y32+'t11'!Z32</f>
        <v>14975</v>
      </c>
      <c r="D30" s="295">
        <f>'t1'!K30+'t1'!L30</f>
        <v>220</v>
      </c>
      <c r="E30" s="295">
        <f>'t3'!K30+'t3'!L30+'t3'!M30+'t3'!N30+'t3'!O30+'t3'!P30</f>
        <v>0</v>
      </c>
      <c r="F30" s="295">
        <f>'t4'!AE39</f>
        <v>0</v>
      </c>
      <c r="G30" s="293">
        <f>'t4'!U49</f>
        <v>0</v>
      </c>
      <c r="H30" s="295">
        <f>'t5'!U31+'t5'!V31</f>
        <v>18</v>
      </c>
      <c r="I30" s="315" t="str">
        <f t="shared" si="4"/>
        <v>OK</v>
      </c>
      <c r="J30" s="315" t="str">
        <f t="shared" si="5"/>
        <v>OK</v>
      </c>
      <c r="K30" s="315" t="str">
        <f t="shared" si="6"/>
        <v>OK</v>
      </c>
      <c r="L30" s="555" t="str">
        <f t="shared" si="7"/>
        <v/>
      </c>
    </row>
    <row r="31" spans="1:12" ht="12.75" x14ac:dyDescent="0.2">
      <c r="A31" s="112" t="str">
        <f>'t1'!A31</f>
        <v>CONTRATTISTI</v>
      </c>
      <c r="B31" s="86" t="str">
        <f>'t1'!B31</f>
        <v>000061</v>
      </c>
      <c r="C31" s="295">
        <f>'t11'!Y33+'t11'!Z33</f>
        <v>4175</v>
      </c>
      <c r="D31" s="295">
        <f>'t1'!K31+'t1'!L31</f>
        <v>128</v>
      </c>
      <c r="E31" s="295">
        <f>'t3'!K31+'t3'!L31+'t3'!M31+'t3'!N31+'t3'!O31+'t3'!P31</f>
        <v>0</v>
      </c>
      <c r="F31" s="295">
        <f>'t4'!AE40</f>
        <v>0</v>
      </c>
      <c r="G31" s="293">
        <f>'t4'!U50</f>
        <v>0</v>
      </c>
      <c r="H31" s="295">
        <f>'t5'!U32+'t5'!V32</f>
        <v>14</v>
      </c>
      <c r="I31" s="315" t="str">
        <f t="shared" si="4"/>
        <v>OK</v>
      </c>
      <c r="J31" s="315" t="str">
        <f t="shared" si="5"/>
        <v>OK</v>
      </c>
      <c r="K31" s="315" t="str">
        <f t="shared" si="6"/>
        <v>OK</v>
      </c>
      <c r="L31" s="555" t="str">
        <f t="shared" si="7"/>
        <v/>
      </c>
    </row>
    <row r="32" spans="1:12" ht="12.75" x14ac:dyDescent="0.2">
      <c r="A32" s="112" t="str">
        <f>'t1'!A32</f>
        <v>SEGRETARIO GENERALE CCIAA</v>
      </c>
      <c r="B32" s="86" t="str">
        <f>'t1'!B32</f>
        <v>0D0104</v>
      </c>
      <c r="C32" s="295">
        <f>'t11'!Y34+'t11'!Z34</f>
        <v>0</v>
      </c>
      <c r="D32" s="295">
        <f>'t1'!K32+'t1'!L32</f>
        <v>0</v>
      </c>
      <c r="E32" s="295">
        <f>'t3'!K32+'t3'!L32+'t3'!M32+'t3'!N32+'t3'!O32+'t3'!P32</f>
        <v>0</v>
      </c>
      <c r="F32" s="295">
        <f>'t4'!AE41</f>
        <v>0</v>
      </c>
      <c r="G32" s="293">
        <f>'t4'!U51</f>
        <v>0</v>
      </c>
      <c r="H32" s="295">
        <f>'t5'!U33+'t5'!V33</f>
        <v>0</v>
      </c>
      <c r="I32" s="315" t="str">
        <f t="shared" si="4"/>
        <v>OK</v>
      </c>
      <c r="J32" s="315" t="str">
        <f t="shared" si="5"/>
        <v>OK</v>
      </c>
      <c r="K32" s="315" t="str">
        <f t="shared" si="6"/>
        <v>OK</v>
      </c>
      <c r="L32" s="555" t="str">
        <f t="shared" si="7"/>
        <v/>
      </c>
    </row>
    <row r="33" spans="1:12" ht="12.75" x14ac:dyDescent="0.2">
      <c r="A33" s="112" t="str">
        <f>'t1'!A33</f>
        <v>COLLABORATORE A TEMPO DETERMINATO</v>
      </c>
      <c r="B33" s="86" t="str">
        <f>'t1'!B33</f>
        <v>000096</v>
      </c>
      <c r="C33" s="295">
        <f>'t11'!Y35+'t11'!Z35</f>
        <v>218</v>
      </c>
      <c r="D33" s="295">
        <f>'t1'!K33+'t1'!L33</f>
        <v>11</v>
      </c>
      <c r="E33" s="295">
        <f>'t3'!K33+'t3'!L33+'t3'!M33+'t3'!N33+'t3'!O33+'t3'!P33</f>
        <v>0</v>
      </c>
      <c r="F33" s="295">
        <f>'t4'!AE42</f>
        <v>0</v>
      </c>
      <c r="G33" s="293">
        <f>'t4'!U52</f>
        <v>0</v>
      </c>
      <c r="H33" s="295">
        <f>'t5'!U34+'t5'!V34</f>
        <v>1</v>
      </c>
      <c r="I33" s="315" t="str">
        <f t="shared" si="4"/>
        <v>OK</v>
      </c>
      <c r="J33" s="315" t="str">
        <f t="shared" si="5"/>
        <v>OK</v>
      </c>
      <c r="K33" s="315" t="str">
        <f t="shared" si="6"/>
        <v>OK</v>
      </c>
      <c r="L33" s="555" t="str">
        <f t="shared" si="7"/>
        <v/>
      </c>
    </row>
  </sheetData>
  <sheetProtection password="DD41" sheet="1" formatColumns="0" selectLockedCells="1" selectUnlockedCells="1"/>
  <mergeCells count="2">
    <mergeCell ref="A1:K1"/>
    <mergeCell ref="D2:K2"/>
  </mergeCells>
  <phoneticPr fontId="30" type="noConversion"/>
  <conditionalFormatting sqref="I6:I33">
    <cfRule type="notContainsText" dxfId="1" priority="1" stopIfTrue="1" operator="notContains" text="ok">
      <formula>ISERROR(SEARCH("ok",I6))</formula>
    </cfRule>
  </conditionalFormatting>
  <printOptions horizontalCentered="1"/>
  <pageMargins left="0.2" right="0.2" top="0.19685039370078741" bottom="0.15748031496062992" header="0.15748031496062992" footer="0.15748031496062992"/>
  <pageSetup paperSize="9" scale="81" orientation="landscape" horizontalDpi="0" verticalDpi="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48">
    <pageSetUpPr fitToPage="1"/>
  </sheetPr>
  <dimension ref="A1:V252"/>
  <sheetViews>
    <sheetView zoomScale="75" zoomScaleNormal="75" workbookViewId="0">
      <selection activeCell="F6" sqref="F6"/>
    </sheetView>
  </sheetViews>
  <sheetFormatPr defaultColWidth="12.6640625" defaultRowHeight="15" x14ac:dyDescent="0.15"/>
  <cols>
    <col min="1" max="1" width="6.6640625" style="511" customWidth="1"/>
    <col min="2" max="2" width="25.6640625" style="512" customWidth="1"/>
    <col min="3" max="3" width="5.5" style="512" customWidth="1"/>
    <col min="4" max="4" width="56.1640625" style="512" customWidth="1"/>
    <col min="5" max="5" width="22.5" style="512" customWidth="1"/>
    <col min="6" max="6" width="23.1640625" style="512" customWidth="1"/>
    <col min="7" max="7" width="21.5" style="512" customWidth="1"/>
    <col min="8" max="8" width="97" style="666" customWidth="1"/>
    <col min="9" max="9" width="5.1640625" style="481" hidden="1" customWidth="1"/>
    <col min="10" max="10" width="11.1640625" style="480" hidden="1" customWidth="1"/>
    <col min="11" max="14" width="12.6640625" style="480" hidden="1" customWidth="1"/>
    <col min="15" max="22" width="12.6640625" style="1286"/>
    <col min="23" max="16384" width="12.6640625" style="480"/>
  </cols>
  <sheetData>
    <row r="1" spans="1:14" ht="62.25" customHeight="1" x14ac:dyDescent="0.15">
      <c r="H1" s="672" t="s">
        <v>332</v>
      </c>
      <c r="I1" s="454"/>
    </row>
    <row r="2" spans="1:14" ht="26.25" customHeight="1" thickBot="1" x14ac:dyDescent="0.2">
      <c r="A2" s="513"/>
      <c r="B2" s="514"/>
      <c r="C2" s="514"/>
      <c r="D2" s="452" t="str">
        <f>'t1'!A1</f>
        <v>REGIONE VALLE D'AOSTA - anno 2024</v>
      </c>
      <c r="E2" s="514"/>
      <c r="F2" s="514"/>
      <c r="G2" s="514"/>
      <c r="H2" s="673"/>
      <c r="I2" s="454"/>
    </row>
    <row r="3" spans="1:14" x14ac:dyDescent="0.15">
      <c r="B3" s="446"/>
      <c r="C3" s="446"/>
      <c r="D3" s="446"/>
      <c r="E3" s="446"/>
      <c r="F3" s="446"/>
      <c r="G3" s="446"/>
      <c r="H3" s="663"/>
      <c r="I3" s="454"/>
    </row>
    <row r="4" spans="1:14" x14ac:dyDescent="0.15">
      <c r="B4" s="448"/>
      <c r="C4" s="449"/>
      <c r="D4" s="448"/>
      <c r="E4" s="448"/>
      <c r="F4" s="455" t="s">
        <v>66</v>
      </c>
      <c r="G4" s="448"/>
      <c r="H4" s="663"/>
      <c r="I4" s="454"/>
    </row>
    <row r="5" spans="1:14" hidden="1" x14ac:dyDescent="0.15">
      <c r="B5" s="448"/>
      <c r="C5" s="449"/>
      <c r="D5" s="448"/>
      <c r="E5" s="448"/>
      <c r="F5" s="1268"/>
      <c r="G5" s="448"/>
      <c r="H5" s="663"/>
      <c r="I5" s="454"/>
    </row>
    <row r="6" spans="1:14" ht="15" customHeight="1" x14ac:dyDescent="0.15">
      <c r="A6" s="511" t="s">
        <v>294</v>
      </c>
      <c r="B6" s="450" t="s">
        <v>339</v>
      </c>
      <c r="C6" s="1269"/>
      <c r="F6" s="462"/>
      <c r="G6" s="1313" t="str">
        <f>IF(F6=0,"RISPOSTA OBBLIGATORIA","")</f>
        <v>RISPOSTA OBBLIGATORIA</v>
      </c>
      <c r="H6" s="663"/>
      <c r="I6" s="301">
        <f>F6</f>
        <v>0</v>
      </c>
    </row>
    <row r="7" spans="1:14" ht="15" customHeight="1" x14ac:dyDescent="0.15">
      <c r="B7" s="448"/>
      <c r="C7" s="449"/>
      <c r="D7" s="448"/>
      <c r="E7" s="448"/>
      <c r="F7" s="448"/>
      <c r="G7" s="448"/>
      <c r="H7" s="663"/>
      <c r="I7" s="454"/>
    </row>
    <row r="8" spans="1:14" ht="15" customHeight="1" x14ac:dyDescent="0.25">
      <c r="A8" s="511" t="s">
        <v>295</v>
      </c>
      <c r="B8" s="456" t="s">
        <v>340</v>
      </c>
      <c r="C8" s="449"/>
      <c r="D8" s="448"/>
      <c r="E8" s="448"/>
      <c r="F8" s="462"/>
      <c r="G8" s="1313" t="str">
        <f>IF(F8=0,"RISPOSTA OBBLIGATORIA","")</f>
        <v>RISPOSTA OBBLIGATORIA</v>
      </c>
      <c r="H8" s="663"/>
      <c r="I8" s="301">
        <f>F8</f>
        <v>0</v>
      </c>
    </row>
    <row r="9" spans="1:14" ht="15" customHeight="1" x14ac:dyDescent="0.2">
      <c r="B9" s="1270"/>
      <c r="C9" s="449"/>
      <c r="D9" s="448"/>
      <c r="E9" s="448"/>
      <c r="F9" s="448"/>
      <c r="G9" s="448"/>
      <c r="H9" s="663"/>
      <c r="I9" s="454"/>
    </row>
    <row r="10" spans="1:14" ht="17.25" customHeight="1" x14ac:dyDescent="0.15">
      <c r="B10" s="448"/>
      <c r="C10" s="449"/>
      <c r="D10" s="448"/>
      <c r="E10" s="448"/>
      <c r="F10" s="455" t="s">
        <v>271</v>
      </c>
      <c r="G10" s="455" t="s">
        <v>272</v>
      </c>
      <c r="H10" s="663"/>
      <c r="I10" s="454"/>
    </row>
    <row r="11" spans="1:14" ht="20.25" customHeight="1" x14ac:dyDescent="0.15">
      <c r="A11" s="511" t="s">
        <v>301</v>
      </c>
      <c r="B11" s="451" t="s">
        <v>338</v>
      </c>
      <c r="C11" s="449"/>
      <c r="D11" s="448"/>
      <c r="E11" s="448"/>
      <c r="F11" s="431"/>
      <c r="G11" s="431"/>
      <c r="H11" s="568" t="str">
        <f>IF(I11=0,"RISPOSTA OBBLIGATORIA","")</f>
        <v>RISPOSTA OBBLIGATORIA</v>
      </c>
      <c r="I11" s="454">
        <v>0</v>
      </c>
      <c r="J11" s="480" t="str">
        <f>IF(I11=1,"VERO",IF(I11=2,"FALSO",""))</f>
        <v/>
      </c>
      <c r="N11" s="1271"/>
    </row>
    <row r="12" spans="1:14" ht="15" customHeight="1" x14ac:dyDescent="0.15">
      <c r="A12" s="1272"/>
      <c r="B12" s="1272"/>
      <c r="C12" s="1272"/>
      <c r="D12" s="1272"/>
      <c r="E12" s="1272"/>
      <c r="F12" s="1272"/>
      <c r="G12" s="1272"/>
      <c r="H12" s="1273"/>
      <c r="I12" s="405"/>
    </row>
    <row r="13" spans="1:14" ht="15" customHeight="1" x14ac:dyDescent="0.15">
      <c r="H13" s="663"/>
      <c r="I13" s="454"/>
    </row>
    <row r="14" spans="1:14" ht="20.25" hidden="1" customHeight="1" x14ac:dyDescent="0.15">
      <c r="B14" s="451"/>
      <c r="C14" s="448"/>
      <c r="D14" s="1272"/>
      <c r="E14" s="1272"/>
      <c r="H14" s="568"/>
      <c r="I14" s="454">
        <v>0</v>
      </c>
    </row>
    <row r="15" spans="1:14" ht="15" hidden="1" customHeight="1" x14ac:dyDescent="0.15">
      <c r="H15" s="663"/>
      <c r="I15" s="454"/>
    </row>
    <row r="16" spans="1:14" ht="20.25" hidden="1" customHeight="1" x14ac:dyDescent="0.25">
      <c r="B16" s="168"/>
      <c r="H16" s="568"/>
      <c r="I16" s="454"/>
      <c r="N16" s="1271"/>
    </row>
    <row r="17" spans="1:14" ht="15" hidden="1" customHeight="1" x14ac:dyDescent="0.15">
      <c r="H17" s="663"/>
      <c r="I17" s="454"/>
    </row>
    <row r="18" spans="1:14" ht="43.5" customHeight="1" x14ac:dyDescent="0.85">
      <c r="A18" s="511" t="s">
        <v>296</v>
      </c>
      <c r="B18" s="1401" t="s">
        <v>747</v>
      </c>
      <c r="C18" s="1402"/>
      <c r="D18" s="1402"/>
      <c r="E18" s="1402"/>
      <c r="F18" s="839" t="s">
        <v>675</v>
      </c>
      <c r="G18" s="840" t="str">
        <f>IF(I18=0,"←","")</f>
        <v>←</v>
      </c>
      <c r="H18" s="568" t="str">
        <f>IF(I18=0,"RISPOSTA OBBLIGATORIA - Cliccare sulla cella per selezionare la risposta","")</f>
        <v>RISPOSTA OBBLIGATORIA - Cliccare sulla cella per selezionare la risposta</v>
      </c>
      <c r="I18" s="793">
        <f>IF(F18="Sì",1,IF(F18="No",2,IF(F18="Non sono stati esternalizzati servizi ","X",0)))</f>
        <v>0</v>
      </c>
    </row>
    <row r="19" spans="1:14" ht="15" customHeight="1" x14ac:dyDescent="0.15">
      <c r="B19" s="843"/>
      <c r="C19" s="843"/>
      <c r="D19" s="843"/>
      <c r="E19" s="843"/>
      <c r="H19" s="663"/>
      <c r="I19" s="454"/>
    </row>
    <row r="20" spans="1:14" ht="43.5" customHeight="1" x14ac:dyDescent="0.15">
      <c r="A20" s="511" t="s">
        <v>297</v>
      </c>
      <c r="B20" s="1403" t="s">
        <v>1033</v>
      </c>
      <c r="C20" s="1402"/>
      <c r="D20" s="1402"/>
      <c r="E20" s="1402"/>
      <c r="F20" s="431"/>
      <c r="G20" s="431"/>
      <c r="H20" s="568" t="str">
        <f>IF(I20=0,"RISPOSTA OBBLIGATORIA","")</f>
        <v>RISPOSTA OBBLIGATORIA</v>
      </c>
      <c r="I20" s="454">
        <v>0</v>
      </c>
      <c r="J20" s="480" t="str">
        <f>IF(I20=1,"VERO",IF(I20=2,"FALSO",""))</f>
        <v/>
      </c>
      <c r="N20" s="1271"/>
    </row>
    <row r="21" spans="1:14" ht="15" customHeight="1" x14ac:dyDescent="0.15">
      <c r="B21" s="448"/>
      <c r="H21" s="663"/>
      <c r="I21" s="454"/>
    </row>
    <row r="22" spans="1:14" ht="29.25" customHeight="1" x14ac:dyDescent="0.25">
      <c r="A22" s="511" t="s">
        <v>300</v>
      </c>
      <c r="B22" s="1404" t="s">
        <v>995</v>
      </c>
      <c r="C22" s="1405"/>
      <c r="D22" s="1405"/>
      <c r="E22" s="1405"/>
      <c r="F22" s="431"/>
      <c r="G22" s="431"/>
      <c r="H22" s="568" t="str">
        <f>IF(I22=0,"RISPOSTA OBBLIGATORIA","")</f>
        <v>RISPOSTA OBBLIGATORIA</v>
      </c>
      <c r="I22" s="454">
        <v>0</v>
      </c>
      <c r="J22" s="480" t="str">
        <f>IF(I22=1,"VERO",IF(I22=2,"FALSO",""))</f>
        <v/>
      </c>
      <c r="N22" s="1271"/>
    </row>
    <row r="23" spans="1:14" ht="15" customHeight="1" x14ac:dyDescent="0.15">
      <c r="B23" s="448"/>
      <c r="H23" s="663"/>
      <c r="I23" s="454"/>
    </row>
    <row r="24" spans="1:14" ht="15" hidden="1" customHeight="1" x14ac:dyDescent="0.15">
      <c r="D24" s="448"/>
      <c r="G24" s="1444"/>
      <c r="H24" s="1445"/>
      <c r="I24" s="454"/>
    </row>
    <row r="25" spans="1:14" ht="15" hidden="1" customHeight="1" x14ac:dyDescent="0.15">
      <c r="H25" s="663"/>
      <c r="I25" s="454"/>
    </row>
    <row r="26" spans="1:14" ht="15" hidden="1" customHeight="1" x14ac:dyDescent="0.15">
      <c r="H26" s="663"/>
      <c r="I26" s="454"/>
    </row>
    <row r="27" spans="1:14" ht="15" hidden="1" customHeight="1" x14ac:dyDescent="0.15">
      <c r="H27" s="663"/>
      <c r="I27" s="454"/>
    </row>
    <row r="28" spans="1:14" ht="15" hidden="1" customHeight="1" x14ac:dyDescent="0.15">
      <c r="H28" s="663"/>
      <c r="I28" s="454"/>
    </row>
    <row r="29" spans="1:14" ht="15" hidden="1" customHeight="1" x14ac:dyDescent="0.15">
      <c r="H29" s="663"/>
      <c r="I29" s="454"/>
    </row>
    <row r="30" spans="1:14" ht="15" hidden="1" customHeight="1" x14ac:dyDescent="0.15">
      <c r="H30" s="663"/>
      <c r="I30" s="454"/>
    </row>
    <row r="31" spans="1:14" ht="15" customHeight="1" x14ac:dyDescent="0.15">
      <c r="F31" s="455" t="s">
        <v>271</v>
      </c>
      <c r="G31" s="455" t="s">
        <v>272</v>
      </c>
      <c r="H31" s="663"/>
      <c r="I31" s="454"/>
    </row>
    <row r="32" spans="1:14" ht="30.75" customHeight="1" x14ac:dyDescent="0.25">
      <c r="A32" s="511" t="s">
        <v>303</v>
      </c>
      <c r="B32" s="1434" t="s">
        <v>2</v>
      </c>
      <c r="C32" s="1434"/>
      <c r="D32" s="1434"/>
      <c r="E32" s="1435"/>
      <c r="F32" s="431"/>
      <c r="G32" s="431"/>
      <c r="H32" s="568" t="str">
        <f>IF(I32=0,"RISPOSTA OBBLIGATORIA","")</f>
        <v>RISPOSTA OBBLIGATORIA</v>
      </c>
      <c r="I32" s="454">
        <v>0</v>
      </c>
      <c r="J32" s="480" t="str">
        <f>IF(I32=1,"VERO",IF(I32=2,"FALSO",""))</f>
        <v/>
      </c>
      <c r="N32" s="1271"/>
    </row>
    <row r="33" spans="1:14" ht="15" customHeight="1" x14ac:dyDescent="0.15">
      <c r="H33" s="663"/>
      <c r="I33" s="454"/>
    </row>
    <row r="34" spans="1:14" ht="20.25" customHeight="1" x14ac:dyDescent="0.25">
      <c r="A34" s="511" t="s">
        <v>333</v>
      </c>
      <c r="B34" s="168" t="s">
        <v>361</v>
      </c>
      <c r="F34" s="431"/>
      <c r="G34" s="431"/>
      <c r="H34" s="568" t="str">
        <f>IF(I34=0,"RISPOSTA OBBLIGATORIA","")</f>
        <v>RISPOSTA OBBLIGATORIA</v>
      </c>
      <c r="I34" s="454">
        <v>0</v>
      </c>
      <c r="J34" s="480" t="str">
        <f>IF(I34=1,"VERO",IF(I34=2,"FALSO",""))</f>
        <v/>
      </c>
      <c r="N34" s="1271"/>
    </row>
    <row r="35" spans="1:14" ht="15" customHeight="1" x14ac:dyDescent="0.15">
      <c r="H35" s="663"/>
      <c r="I35" s="454"/>
    </row>
    <row r="36" spans="1:14" ht="15" hidden="1" customHeight="1" x14ac:dyDescent="0.15">
      <c r="B36" s="843"/>
      <c r="C36" s="843"/>
      <c r="D36" s="843"/>
      <c r="E36" s="843"/>
      <c r="F36" s="1284"/>
      <c r="G36" s="843"/>
      <c r="H36" s="1285"/>
      <c r="I36" s="454"/>
    </row>
    <row r="37" spans="1:14" ht="33" hidden="1" customHeight="1" x14ac:dyDescent="0.15">
      <c r="A37" s="511" t="s">
        <v>351</v>
      </c>
      <c r="B37" s="1390"/>
      <c r="C37" s="1402"/>
      <c r="D37" s="1402"/>
      <c r="E37" s="1436"/>
      <c r="F37" s="856"/>
      <c r="G37" s="1406"/>
      <c r="H37" s="1410"/>
      <c r="I37" s="454"/>
    </row>
    <row r="38" spans="1:14" ht="15" hidden="1" customHeight="1" x14ac:dyDescent="0.15">
      <c r="H38" s="663"/>
      <c r="I38" s="454"/>
    </row>
    <row r="39" spans="1:14" ht="15" customHeight="1" x14ac:dyDescent="0.15">
      <c r="F39" s="455" t="s">
        <v>65</v>
      </c>
      <c r="H39" s="663"/>
      <c r="I39" s="454"/>
      <c r="M39" s="1314"/>
    </row>
    <row r="40" spans="1:14" ht="15" hidden="1" customHeight="1" x14ac:dyDescent="0.15">
      <c r="B40" s="450"/>
      <c r="C40" s="1269"/>
      <c r="F40" s="457"/>
      <c r="H40" s="663"/>
      <c r="I40" s="454"/>
    </row>
    <row r="41" spans="1:14" ht="15" hidden="1" customHeight="1" x14ac:dyDescent="0.15">
      <c r="H41" s="663"/>
      <c r="I41" s="454"/>
    </row>
    <row r="42" spans="1:14" ht="15" hidden="1" customHeight="1" x14ac:dyDescent="0.15">
      <c r="B42" s="451"/>
      <c r="F42" s="457"/>
      <c r="H42" s="663"/>
      <c r="I42" s="454"/>
    </row>
    <row r="43" spans="1:14" ht="15" hidden="1" customHeight="1" x14ac:dyDescent="0.15">
      <c r="H43" s="663"/>
      <c r="I43" s="454"/>
    </row>
    <row r="44" spans="1:14" ht="28.5" customHeight="1" x14ac:dyDescent="0.15">
      <c r="A44" s="511" t="s">
        <v>353</v>
      </c>
      <c r="B44" s="1401" t="s">
        <v>412</v>
      </c>
      <c r="C44" s="1393"/>
      <c r="D44" s="1393"/>
      <c r="E44" s="1411"/>
      <c r="F44" s="457">
        <v>0</v>
      </c>
      <c r="G44" s="1406" t="str">
        <f>IF(F44="","RISPOSTA OBBLIGATORIA","")</f>
        <v/>
      </c>
      <c r="H44" s="1407"/>
      <c r="I44" s="301">
        <f>F44</f>
        <v>0</v>
      </c>
    </row>
    <row r="45" spans="1:14" ht="15" customHeight="1" x14ac:dyDescent="0.15">
      <c r="F45" s="453"/>
      <c r="H45" s="663"/>
      <c r="I45" s="454"/>
    </row>
    <row r="46" spans="1:14" ht="15" customHeight="1" x14ac:dyDescent="0.15">
      <c r="F46" s="455" t="s">
        <v>271</v>
      </c>
      <c r="G46" s="455" t="s">
        <v>272</v>
      </c>
      <c r="H46" s="663"/>
      <c r="I46" s="482"/>
    </row>
    <row r="47" spans="1:14" ht="31.35" customHeight="1" x14ac:dyDescent="0.15">
      <c r="A47" s="511" t="s">
        <v>362</v>
      </c>
      <c r="B47" s="1390" t="s">
        <v>753</v>
      </c>
      <c r="C47" s="1390"/>
      <c r="D47" s="1390"/>
      <c r="E47" s="1391"/>
      <c r="F47" s="875"/>
      <c r="G47" s="876"/>
      <c r="H47" s="568" t="str">
        <f>IF(I47=0,"RISPOSTA OBBLIGATORIA","")</f>
        <v>RISPOSTA OBBLIGATORIA</v>
      </c>
      <c r="I47" s="454">
        <v>0</v>
      </c>
      <c r="J47" s="480" t="str">
        <f>IF(I47=1,"VERO",IF(I47=2,"FALSO",""))</f>
        <v/>
      </c>
    </row>
    <row r="48" spans="1:14" ht="23.1" customHeight="1" x14ac:dyDescent="0.15">
      <c r="B48" s="671"/>
      <c r="C48" s="877" t="s">
        <v>754</v>
      </c>
      <c r="D48" s="671"/>
      <c r="E48" s="671"/>
      <c r="F48" s="558"/>
      <c r="G48" s="557"/>
      <c r="H48" s="878"/>
      <c r="I48" s="454"/>
    </row>
    <row r="49" spans="1:10" ht="40.35" customHeight="1" x14ac:dyDescent="0.15">
      <c r="B49" s="838">
        <v>23</v>
      </c>
      <c r="C49" s="1390" t="s">
        <v>999</v>
      </c>
      <c r="D49" s="1390"/>
      <c r="E49" s="1391"/>
      <c r="F49" s="875"/>
      <c r="G49" s="876"/>
      <c r="H49" s="568" t="str">
        <f>IF($I$47=1,IF(($I$49)=0,"RISPONDERE OBBLIGATORIAMENTE ALLA DOMANDA"," "),IF(AND($I$47&gt;0,$I$49&gt;0),"LA RISPOSTA DATA IN QUESTA SEZIONE NON VERRA' CONSIDERATA",IF(I49&gt;0,"RISPONDERE ALLA DOMANDA 21","  ")))</f>
        <v xml:space="preserve">  </v>
      </c>
      <c r="I49" s="454">
        <v>0</v>
      </c>
      <c r="J49" s="480" t="str">
        <f>IF(I49=1,"VERO",IF(I49=2,"FALSO",""))</f>
        <v/>
      </c>
    </row>
    <row r="50" spans="1:10" ht="15" customHeight="1" x14ac:dyDescent="0.15">
      <c r="B50" s="451"/>
      <c r="C50" s="877"/>
      <c r="D50" s="877"/>
      <c r="E50" s="671"/>
      <c r="F50" s="558"/>
      <c r="G50" s="557"/>
      <c r="H50" s="878"/>
      <c r="I50" s="454"/>
    </row>
    <row r="51" spans="1:10" ht="20.100000000000001" customHeight="1" x14ac:dyDescent="0.15">
      <c r="F51" s="455" t="s">
        <v>271</v>
      </c>
      <c r="G51" s="455" t="s">
        <v>272</v>
      </c>
      <c r="H51" s="663"/>
      <c r="I51" s="482"/>
    </row>
    <row r="52" spans="1:10" ht="29.85" customHeight="1" x14ac:dyDescent="0.15">
      <c r="A52" s="1283" t="s">
        <v>386</v>
      </c>
      <c r="B52" s="1390" t="s">
        <v>1000</v>
      </c>
      <c r="C52" s="1390"/>
      <c r="D52" s="1390"/>
      <c r="E52" s="1391"/>
      <c r="F52" s="875"/>
      <c r="G52" s="876"/>
      <c r="H52" s="568" t="str">
        <f>IF(I52=0,"RISPOSTA OBBLIGATORIA","")</f>
        <v>RISPOSTA OBBLIGATORIA</v>
      </c>
      <c r="I52" s="454">
        <v>0</v>
      </c>
      <c r="J52" s="480" t="str">
        <f>IF(I52=1,"VERO",IF(I52=2,"FALSO",""))</f>
        <v/>
      </c>
    </row>
    <row r="53" spans="1:10" ht="15" hidden="1" customHeight="1" x14ac:dyDescent="0.15">
      <c r="B53" s="451"/>
      <c r="C53" s="877"/>
      <c r="D53" s="877"/>
      <c r="E53" s="671"/>
      <c r="F53" s="558"/>
      <c r="G53" s="557"/>
      <c r="H53" s="878"/>
      <c r="I53" s="454"/>
    </row>
    <row r="54" spans="1:10" ht="15" hidden="1" customHeight="1" x14ac:dyDescent="0.15">
      <c r="F54" s="455" t="s">
        <v>411</v>
      </c>
      <c r="H54" s="663"/>
      <c r="I54" s="454"/>
    </row>
    <row r="55" spans="1:10" ht="30" hidden="1" customHeight="1" x14ac:dyDescent="0.15">
      <c r="A55" s="511" t="s">
        <v>15</v>
      </c>
      <c r="B55" s="1390" t="s">
        <v>16</v>
      </c>
      <c r="C55" s="1390"/>
      <c r="D55" s="1390"/>
      <c r="E55" s="1391"/>
      <c r="F55" s="457">
        <v>0</v>
      </c>
      <c r="G55" s="1406" t="str">
        <f>IF(F55="","RISPOSTA OBBLIGATORIA","")</f>
        <v/>
      </c>
      <c r="H55" s="1407"/>
      <c r="I55" s="454"/>
    </row>
    <row r="56" spans="1:10" ht="15" hidden="1" customHeight="1" x14ac:dyDescent="0.15">
      <c r="H56" s="663"/>
      <c r="I56" s="454"/>
    </row>
    <row r="57" spans="1:10" ht="15" hidden="1" customHeight="1" x14ac:dyDescent="0.15">
      <c r="F57" s="455" t="s">
        <v>411</v>
      </c>
      <c r="H57" s="663"/>
      <c r="I57" s="454"/>
    </row>
    <row r="58" spans="1:10" ht="30" hidden="1" customHeight="1" x14ac:dyDescent="0.15">
      <c r="A58" s="511" t="s">
        <v>17</v>
      </c>
      <c r="B58" s="1390" t="s">
        <v>20</v>
      </c>
      <c r="C58" s="1390"/>
      <c r="D58" s="1390"/>
      <c r="E58" s="1391"/>
      <c r="F58" s="457">
        <v>0</v>
      </c>
      <c r="G58" s="1406" t="str">
        <f>IF(F58="","RISPOSTA OBBLIGATORIA","")</f>
        <v/>
      </c>
      <c r="H58" s="1407"/>
      <c r="I58" s="454"/>
    </row>
    <row r="59" spans="1:10" ht="15" hidden="1" customHeight="1" x14ac:dyDescent="0.15">
      <c r="H59" s="663"/>
      <c r="I59" s="454"/>
    </row>
    <row r="60" spans="1:10" ht="15" hidden="1" customHeight="1" x14ac:dyDescent="0.15">
      <c r="F60" s="455" t="s">
        <v>411</v>
      </c>
      <c r="H60" s="663"/>
      <c r="I60" s="454"/>
    </row>
    <row r="61" spans="1:10" ht="30" hidden="1" customHeight="1" x14ac:dyDescent="0.15">
      <c r="A61" s="511" t="s">
        <v>19</v>
      </c>
      <c r="B61" s="1390" t="s">
        <v>18</v>
      </c>
      <c r="C61" s="1390"/>
      <c r="D61" s="1390"/>
      <c r="E61" s="1391"/>
      <c r="F61" s="457">
        <v>0</v>
      </c>
      <c r="G61" s="1406" t="str">
        <f>IF(F61="","RISPOSTA OBBLIGATORIA","")</f>
        <v/>
      </c>
      <c r="H61" s="1407"/>
      <c r="I61" s="454"/>
    </row>
    <row r="62" spans="1:10" ht="15" customHeight="1" x14ac:dyDescent="0.15">
      <c r="A62" s="556"/>
      <c r="B62" s="671"/>
      <c r="C62" s="671"/>
      <c r="D62" s="671"/>
      <c r="E62" s="671"/>
      <c r="F62" s="558"/>
      <c r="G62" s="557"/>
      <c r="H62" s="878"/>
      <c r="I62" s="454"/>
    </row>
    <row r="63" spans="1:10" ht="15" hidden="1" customHeight="1" x14ac:dyDescent="0.15">
      <c r="F63" s="455"/>
      <c r="G63" s="455"/>
      <c r="H63" s="878"/>
      <c r="I63" s="454"/>
    </row>
    <row r="64" spans="1:10" ht="30" hidden="1" customHeight="1" x14ac:dyDescent="0.15">
      <c r="A64" s="556" t="s">
        <v>479</v>
      </c>
      <c r="B64" s="1390"/>
      <c r="C64" s="1390"/>
      <c r="D64" s="1390"/>
      <c r="E64" s="1390"/>
      <c r="F64" s="875"/>
      <c r="G64" s="876"/>
      <c r="H64" s="568"/>
      <c r="I64" s="454"/>
      <c r="J64" s="480" t="str">
        <f>IF(I64=1,"VERO",IF(I64=2,"FALSO",""))</f>
        <v/>
      </c>
    </row>
    <row r="65" spans="1:9" ht="20.25" hidden="1" customHeight="1" x14ac:dyDescent="0.15">
      <c r="A65" s="556"/>
      <c r="B65" s="671"/>
      <c r="C65" s="877"/>
      <c r="D65" s="671"/>
      <c r="E65" s="671"/>
      <c r="F65" s="558"/>
      <c r="G65" s="557"/>
      <c r="H65" s="878"/>
      <c r="I65" s="454"/>
    </row>
    <row r="66" spans="1:9" ht="15" hidden="1" customHeight="1" x14ac:dyDescent="0.15">
      <c r="F66" s="455"/>
      <c r="H66" s="663"/>
      <c r="I66" s="454"/>
    </row>
    <row r="67" spans="1:9" ht="30" hidden="1" customHeight="1" x14ac:dyDescent="0.15">
      <c r="A67" s="556"/>
      <c r="C67" s="1390"/>
      <c r="D67" s="1390"/>
      <c r="E67" s="1391"/>
      <c r="F67" s="457"/>
      <c r="G67" s="1412"/>
      <c r="H67" s="1413"/>
      <c r="I67" s="454"/>
    </row>
    <row r="68" spans="1:9" ht="15" hidden="1" customHeight="1" x14ac:dyDescent="0.15">
      <c r="A68" s="556"/>
      <c r="B68" s="671"/>
      <c r="C68" s="671"/>
      <c r="D68" s="671"/>
      <c r="E68" s="671"/>
      <c r="F68" s="558"/>
      <c r="G68" s="557"/>
      <c r="H68" s="878"/>
      <c r="I68" s="454"/>
    </row>
    <row r="69" spans="1:9" ht="15" hidden="1" customHeight="1" x14ac:dyDescent="0.15">
      <c r="F69" s="455"/>
      <c r="H69" s="663"/>
      <c r="I69" s="454"/>
    </row>
    <row r="70" spans="1:9" ht="30" hidden="1" customHeight="1" x14ac:dyDescent="0.15">
      <c r="A70" s="556"/>
      <c r="C70" s="1390"/>
      <c r="D70" s="1390"/>
      <c r="E70" s="1391"/>
      <c r="F70" s="457"/>
      <c r="G70" s="1412"/>
      <c r="H70" s="1413"/>
      <c r="I70" s="454"/>
    </row>
    <row r="71" spans="1:9" ht="15" hidden="1" customHeight="1" x14ac:dyDescent="0.15">
      <c r="B71" s="448"/>
      <c r="C71" s="448"/>
      <c r="D71" s="448"/>
      <c r="E71" s="448"/>
      <c r="F71" s="448"/>
      <c r="G71" s="448"/>
      <c r="H71" s="841"/>
      <c r="I71" s="454"/>
    </row>
    <row r="72" spans="1:9" ht="15" hidden="1" customHeight="1" x14ac:dyDescent="0.15">
      <c r="B72" s="448"/>
      <c r="C72" s="448"/>
      <c r="D72" s="448"/>
      <c r="E72" s="448"/>
      <c r="F72" s="448"/>
      <c r="G72" s="448"/>
      <c r="H72" s="841"/>
      <c r="I72" s="454"/>
    </row>
    <row r="73" spans="1:9" ht="15" hidden="1" customHeight="1" x14ac:dyDescent="0.15">
      <c r="B73" s="448"/>
      <c r="C73" s="448"/>
      <c r="D73" s="448"/>
      <c r="E73" s="448"/>
      <c r="F73" s="448"/>
      <c r="G73" s="448"/>
      <c r="H73" s="841"/>
      <c r="I73" s="454"/>
    </row>
    <row r="74" spans="1:9" ht="15" hidden="1" customHeight="1" x14ac:dyDescent="0.15">
      <c r="B74" s="448"/>
      <c r="C74" s="448"/>
      <c r="D74" s="448"/>
      <c r="E74" s="448"/>
      <c r="F74" s="448"/>
      <c r="G74" s="448"/>
      <c r="H74" s="841"/>
      <c r="I74" s="454"/>
    </row>
    <row r="75" spans="1:9" ht="15" hidden="1" customHeight="1" x14ac:dyDescent="0.15">
      <c r="B75" s="448"/>
      <c r="C75" s="448"/>
      <c r="D75" s="448"/>
      <c r="E75" s="448"/>
      <c r="F75" s="448"/>
      <c r="G75" s="448"/>
      <c r="H75" s="841"/>
      <c r="I75" s="454"/>
    </row>
    <row r="76" spans="1:9" ht="15" hidden="1" customHeight="1" x14ac:dyDescent="0.15">
      <c r="B76" s="448"/>
      <c r="C76" s="448"/>
      <c r="D76" s="448"/>
      <c r="E76" s="448"/>
      <c r="F76" s="448"/>
      <c r="G76" s="448"/>
      <c r="H76" s="841"/>
      <c r="I76" s="454"/>
    </row>
    <row r="77" spans="1:9" ht="15" hidden="1" customHeight="1" x14ac:dyDescent="0.15">
      <c r="B77" s="448"/>
      <c r="C77" s="448"/>
      <c r="D77" s="448"/>
      <c r="E77" s="448"/>
      <c r="F77" s="448"/>
      <c r="G77" s="448"/>
      <c r="H77" s="841"/>
      <c r="I77" s="454"/>
    </row>
    <row r="78" spans="1:9" ht="15" hidden="1" customHeight="1" x14ac:dyDescent="0.15">
      <c r="B78" s="448"/>
      <c r="C78" s="448"/>
      <c r="D78" s="448"/>
      <c r="E78" s="448"/>
      <c r="F78" s="448"/>
      <c r="G78" s="448"/>
      <c r="H78" s="841"/>
      <c r="I78" s="454"/>
    </row>
    <row r="79" spans="1:9" ht="15" hidden="1" customHeight="1" x14ac:dyDescent="0.15">
      <c r="B79" s="448"/>
      <c r="C79" s="448"/>
      <c r="D79" s="448"/>
      <c r="E79" s="448"/>
      <c r="F79" s="448"/>
      <c r="G79" s="448"/>
      <c r="H79" s="841"/>
      <c r="I79" s="454"/>
    </row>
    <row r="80" spans="1:9" ht="15" hidden="1" customHeight="1" x14ac:dyDescent="0.15">
      <c r="B80" s="448"/>
      <c r="C80" s="448"/>
      <c r="D80" s="448"/>
      <c r="E80" s="448"/>
      <c r="F80" s="448"/>
      <c r="G80" s="448"/>
      <c r="H80" s="841"/>
      <c r="I80" s="454"/>
    </row>
    <row r="81" spans="2:9" ht="15" hidden="1" customHeight="1" x14ac:dyDescent="0.15">
      <c r="B81" s="448"/>
      <c r="C81" s="448"/>
      <c r="D81" s="448"/>
      <c r="E81" s="448"/>
      <c r="F81" s="448"/>
      <c r="G81" s="448"/>
      <c r="H81" s="841"/>
      <c r="I81" s="454"/>
    </row>
    <row r="82" spans="2:9" ht="15" hidden="1" customHeight="1" x14ac:dyDescent="0.15">
      <c r="B82" s="448"/>
      <c r="C82" s="448"/>
      <c r="D82" s="448"/>
      <c r="E82" s="448"/>
      <c r="F82" s="448"/>
      <c r="G82" s="448"/>
      <c r="H82" s="841"/>
      <c r="I82" s="454"/>
    </row>
    <row r="83" spans="2:9" ht="15" hidden="1" customHeight="1" x14ac:dyDescent="0.15">
      <c r="B83" s="448"/>
      <c r="C83" s="448"/>
      <c r="D83" s="448"/>
      <c r="E83" s="448"/>
      <c r="F83" s="448"/>
      <c r="G83" s="448"/>
      <c r="H83" s="841"/>
      <c r="I83" s="454"/>
    </row>
    <row r="84" spans="2:9" ht="15" hidden="1" customHeight="1" x14ac:dyDescent="0.15">
      <c r="B84" s="448"/>
      <c r="C84" s="448"/>
      <c r="D84" s="448"/>
      <c r="E84" s="448"/>
      <c r="F84" s="448"/>
      <c r="G84" s="448"/>
      <c r="H84" s="841"/>
      <c r="I84" s="454"/>
    </row>
    <row r="85" spans="2:9" ht="15" hidden="1" customHeight="1" x14ac:dyDescent="0.15">
      <c r="B85" s="448"/>
      <c r="C85" s="448"/>
      <c r="D85" s="448"/>
      <c r="E85" s="448"/>
      <c r="F85" s="448"/>
      <c r="G85" s="448"/>
      <c r="H85" s="841"/>
      <c r="I85" s="454"/>
    </row>
    <row r="86" spans="2:9" ht="15" hidden="1" customHeight="1" x14ac:dyDescent="0.15">
      <c r="B86" s="1315"/>
      <c r="C86" s="448"/>
      <c r="D86" s="448"/>
      <c r="E86" s="448"/>
      <c r="F86" s="448"/>
      <c r="G86" s="448"/>
      <c r="H86" s="841"/>
      <c r="I86" s="454"/>
    </row>
    <row r="87" spans="2:9" ht="15" hidden="1" customHeight="1" x14ac:dyDescent="0.15">
      <c r="B87" s="448"/>
      <c r="C87" s="448"/>
      <c r="D87" s="448"/>
      <c r="E87" s="448"/>
      <c r="F87" s="448"/>
      <c r="G87" s="448"/>
      <c r="H87" s="841"/>
      <c r="I87" s="454"/>
    </row>
    <row r="88" spans="2:9" ht="15" hidden="1" customHeight="1" x14ac:dyDescent="0.15">
      <c r="B88" s="448"/>
      <c r="C88" s="448"/>
      <c r="D88" s="448"/>
      <c r="E88" s="448"/>
      <c r="F88" s="448"/>
      <c r="G88" s="448"/>
      <c r="H88" s="841"/>
      <c r="I88" s="454"/>
    </row>
    <row r="89" spans="2:9" ht="15" hidden="1" customHeight="1" x14ac:dyDescent="0.15">
      <c r="B89" s="448"/>
      <c r="C89" s="448"/>
      <c r="D89" s="448"/>
      <c r="E89" s="448"/>
      <c r="F89" s="448"/>
      <c r="G89" s="448"/>
      <c r="H89" s="841"/>
      <c r="I89" s="454"/>
    </row>
    <row r="90" spans="2:9" ht="15" hidden="1" customHeight="1" x14ac:dyDescent="0.15">
      <c r="B90" s="448"/>
      <c r="C90" s="448"/>
      <c r="D90" s="448"/>
      <c r="E90" s="448"/>
      <c r="F90" s="448"/>
      <c r="G90" s="448"/>
      <c r="H90" s="841"/>
      <c r="I90" s="454"/>
    </row>
    <row r="91" spans="2:9" ht="15" hidden="1" customHeight="1" x14ac:dyDescent="0.15">
      <c r="B91" s="448"/>
      <c r="C91" s="448"/>
      <c r="D91" s="448"/>
      <c r="E91" s="448"/>
      <c r="F91" s="448"/>
      <c r="G91" s="448"/>
      <c r="H91" s="841"/>
      <c r="I91" s="454"/>
    </row>
    <row r="92" spans="2:9" ht="15" hidden="1" customHeight="1" x14ac:dyDescent="0.15">
      <c r="B92" s="448"/>
      <c r="C92" s="448"/>
      <c r="D92" s="448"/>
      <c r="E92" s="448"/>
      <c r="F92" s="448"/>
      <c r="G92" s="1315"/>
      <c r="H92" s="841"/>
      <c r="I92" s="454"/>
    </row>
    <row r="93" spans="2:9" ht="15" hidden="1" customHeight="1" x14ac:dyDescent="0.15">
      <c r="B93" s="448"/>
      <c r="C93" s="448"/>
      <c r="D93" s="448"/>
      <c r="E93" s="448"/>
      <c r="F93" s="448"/>
      <c r="G93" s="448"/>
      <c r="H93" s="841"/>
      <c r="I93" s="454"/>
    </row>
    <row r="94" spans="2:9" ht="15" hidden="1" customHeight="1" x14ac:dyDescent="0.15">
      <c r="B94" s="448"/>
      <c r="C94" s="448"/>
      <c r="D94" s="448"/>
      <c r="E94" s="448"/>
      <c r="F94" s="448"/>
      <c r="G94" s="448"/>
      <c r="H94" s="841"/>
      <c r="I94" s="454"/>
    </row>
    <row r="95" spans="2:9" ht="15" hidden="1" customHeight="1" x14ac:dyDescent="0.15">
      <c r="B95" s="448"/>
      <c r="C95" s="448"/>
      <c r="D95" s="448"/>
      <c r="E95" s="448"/>
      <c r="F95" s="448"/>
      <c r="G95" s="448"/>
      <c r="H95" s="841"/>
      <c r="I95" s="454"/>
    </row>
    <row r="96" spans="2:9" ht="15" hidden="1" customHeight="1" x14ac:dyDescent="0.15">
      <c r="B96" s="448"/>
      <c r="C96" s="448"/>
      <c r="D96" s="448"/>
      <c r="E96" s="448"/>
      <c r="F96" s="448"/>
      <c r="G96" s="448"/>
      <c r="H96" s="841"/>
      <c r="I96" s="454"/>
    </row>
    <row r="97" spans="1:22" ht="15" hidden="1" customHeight="1" x14ac:dyDescent="0.15">
      <c r="B97" s="448"/>
      <c r="C97" s="448"/>
      <c r="D97" s="448"/>
      <c r="E97" s="448"/>
      <c r="F97" s="448"/>
      <c r="G97" s="448"/>
      <c r="H97" s="841"/>
      <c r="I97" s="454"/>
    </row>
    <row r="98" spans="1:22" ht="15" hidden="1" customHeight="1" x14ac:dyDescent="0.15">
      <c r="B98" s="448"/>
      <c r="C98" s="448"/>
      <c r="D98" s="448"/>
      <c r="E98" s="448"/>
      <c r="F98" s="448"/>
      <c r="G98" s="448"/>
      <c r="H98" s="841"/>
      <c r="I98" s="454"/>
    </row>
    <row r="99" spans="1:22" ht="15" hidden="1" customHeight="1" x14ac:dyDescent="0.15">
      <c r="B99" s="448"/>
      <c r="C99" s="448"/>
      <c r="D99" s="448"/>
      <c r="E99" s="448"/>
      <c r="F99" s="448"/>
      <c r="G99" s="448"/>
      <c r="H99" s="841"/>
      <c r="I99" s="454"/>
    </row>
    <row r="100" spans="1:22" ht="15" hidden="1" customHeight="1" x14ac:dyDescent="0.15">
      <c r="B100" s="448"/>
      <c r="C100" s="448"/>
      <c r="D100" s="448"/>
      <c r="E100" s="448"/>
      <c r="F100" s="448"/>
      <c r="G100" s="448"/>
      <c r="H100" s="841"/>
      <c r="I100" s="454"/>
    </row>
    <row r="101" spans="1:22" ht="15" hidden="1" customHeight="1" x14ac:dyDescent="0.15">
      <c r="B101" s="448"/>
      <c r="C101" s="448"/>
      <c r="D101" s="448"/>
      <c r="E101" s="448"/>
      <c r="F101" s="448"/>
      <c r="G101" s="448"/>
      <c r="H101" s="841"/>
      <c r="I101" s="454"/>
    </row>
    <row r="102" spans="1:22" ht="15" hidden="1" customHeight="1" x14ac:dyDescent="0.15">
      <c r="B102" s="448"/>
      <c r="C102" s="448"/>
      <c r="D102" s="448"/>
      <c r="E102" s="448"/>
      <c r="F102" s="448"/>
      <c r="G102" s="448"/>
      <c r="H102" s="841"/>
      <c r="I102" s="454"/>
    </row>
    <row r="103" spans="1:22" ht="15" hidden="1" customHeight="1" x14ac:dyDescent="0.15">
      <c r="B103" s="448"/>
      <c r="C103" s="448"/>
      <c r="D103" s="448"/>
      <c r="E103" s="448"/>
      <c r="F103" s="448"/>
      <c r="G103" s="448"/>
      <c r="H103" s="841"/>
      <c r="I103" s="454"/>
    </row>
    <row r="104" spans="1:22" ht="15" hidden="1" customHeight="1" x14ac:dyDescent="0.15">
      <c r="B104" s="448"/>
      <c r="C104" s="448"/>
      <c r="D104" s="448"/>
      <c r="E104" s="448"/>
      <c r="F104" s="448"/>
      <c r="G104" s="448"/>
      <c r="H104" s="841"/>
      <c r="I104" s="454"/>
    </row>
    <row r="105" spans="1:22" s="301" customFormat="1" ht="15" hidden="1" customHeight="1" x14ac:dyDescent="0.15">
      <c r="A105" s="1316"/>
      <c r="B105" s="1217"/>
      <c r="C105" s="1217"/>
      <c r="D105" s="1317"/>
      <c r="E105" s="1309"/>
      <c r="F105" s="1318"/>
      <c r="G105" s="1318"/>
      <c r="H105" s="1311"/>
      <c r="I105" s="405"/>
      <c r="O105" s="1286"/>
      <c r="P105" s="1286"/>
      <c r="Q105" s="1286"/>
      <c r="R105" s="1286"/>
      <c r="S105" s="1286"/>
      <c r="T105" s="1286"/>
      <c r="U105" s="1286"/>
      <c r="V105" s="1286"/>
    </row>
    <row r="106" spans="1:22" customFormat="1" x14ac:dyDescent="0.15">
      <c r="A106" s="511"/>
      <c r="B106" s="512"/>
      <c r="C106" s="512"/>
      <c r="D106" s="512"/>
      <c r="E106" s="512"/>
      <c r="F106" s="455" t="s">
        <v>411</v>
      </c>
      <c r="G106" s="512"/>
      <c r="H106" s="663"/>
      <c r="I106" s="355"/>
      <c r="O106" s="859"/>
      <c r="P106" s="859"/>
      <c r="Q106" s="859"/>
      <c r="R106" s="859"/>
      <c r="S106" s="859"/>
      <c r="T106" s="859"/>
      <c r="U106" s="859"/>
      <c r="V106" s="859"/>
    </row>
    <row r="107" spans="1:22" customFormat="1" ht="36" customHeight="1" x14ac:dyDescent="0.15">
      <c r="A107" s="511" t="s">
        <v>637</v>
      </c>
      <c r="B107" s="1390" t="s">
        <v>755</v>
      </c>
      <c r="C107" s="1390"/>
      <c r="D107" s="1390"/>
      <c r="E107" s="1391"/>
      <c r="F107" s="457">
        <v>0</v>
      </c>
      <c r="G107" s="1406" t="str">
        <f>IF(F107="","RISPOSTA OBBLIGATORIA","")</f>
        <v/>
      </c>
      <c r="H107" s="1407"/>
      <c r="I107" s="301">
        <f>F107</f>
        <v>0</v>
      </c>
      <c r="O107" s="859"/>
      <c r="P107" s="859"/>
      <c r="Q107" s="859"/>
      <c r="R107" s="859"/>
      <c r="S107" s="859"/>
      <c r="T107" s="859"/>
      <c r="U107" s="859"/>
      <c r="V107" s="859"/>
    </row>
    <row r="108" spans="1:22" customFormat="1" x14ac:dyDescent="0.15">
      <c r="A108" s="511"/>
      <c r="B108" s="512"/>
      <c r="C108" s="512"/>
      <c r="D108" s="512"/>
      <c r="E108" s="512"/>
      <c r="F108" s="512"/>
      <c r="G108" s="512"/>
      <c r="H108" s="663"/>
      <c r="I108" s="355"/>
      <c r="O108" s="859"/>
      <c r="P108" s="859"/>
      <c r="Q108" s="859"/>
      <c r="R108" s="859"/>
      <c r="S108" s="859"/>
      <c r="T108" s="859"/>
      <c r="U108" s="859"/>
      <c r="V108" s="859"/>
    </row>
    <row r="109" spans="1:22" customFormat="1" x14ac:dyDescent="0.15">
      <c r="A109" s="511"/>
      <c r="B109" s="512"/>
      <c r="C109" s="512"/>
      <c r="D109" s="512"/>
      <c r="E109" s="512"/>
      <c r="F109" s="455" t="s">
        <v>411</v>
      </c>
      <c r="G109" s="512"/>
      <c r="H109" s="663"/>
      <c r="I109" s="355"/>
      <c r="O109" s="859"/>
      <c r="P109" s="859"/>
      <c r="Q109" s="859"/>
      <c r="R109" s="859"/>
      <c r="S109" s="859"/>
      <c r="T109" s="859"/>
      <c r="U109" s="859"/>
      <c r="V109" s="859"/>
    </row>
    <row r="110" spans="1:22" customFormat="1" ht="36" customHeight="1" x14ac:dyDescent="0.15">
      <c r="A110" s="511" t="s">
        <v>638</v>
      </c>
      <c r="B110" s="1390" t="s">
        <v>756</v>
      </c>
      <c r="C110" s="1390"/>
      <c r="D110" s="1390"/>
      <c r="E110" s="1391"/>
      <c r="F110" s="457">
        <v>0</v>
      </c>
      <c r="G110" s="1406" t="str">
        <f>IF(F110="","RISPOSTA OBBLIGATORIA","")</f>
        <v/>
      </c>
      <c r="H110" s="1407"/>
      <c r="I110" s="301">
        <f>F110</f>
        <v>0</v>
      </c>
      <c r="O110" s="859"/>
      <c r="P110" s="859"/>
      <c r="Q110" s="859"/>
      <c r="R110" s="859"/>
      <c r="S110" s="859"/>
      <c r="T110" s="859"/>
      <c r="U110" s="859"/>
      <c r="V110" s="859"/>
    </row>
    <row r="111" spans="1:22" customFormat="1" x14ac:dyDescent="0.15">
      <c r="A111" s="511"/>
      <c r="B111" s="512"/>
      <c r="C111" s="512"/>
      <c r="D111" s="512"/>
      <c r="E111" s="512"/>
      <c r="F111" s="512"/>
      <c r="G111" s="512"/>
      <c r="H111" s="663"/>
      <c r="I111" s="355"/>
      <c r="O111" s="859"/>
      <c r="P111" s="859"/>
      <c r="Q111" s="859"/>
      <c r="R111" s="859"/>
      <c r="S111" s="859"/>
      <c r="T111" s="859"/>
      <c r="U111" s="859"/>
      <c r="V111" s="859"/>
    </row>
    <row r="112" spans="1:22" customFormat="1" x14ac:dyDescent="0.15">
      <c r="A112" s="511"/>
      <c r="B112" s="512"/>
      <c r="C112" s="512"/>
      <c r="D112" s="512"/>
      <c r="E112" s="512"/>
      <c r="F112" s="455" t="s">
        <v>411</v>
      </c>
      <c r="G112" s="512"/>
      <c r="H112" s="663"/>
      <c r="I112" s="355"/>
      <c r="O112" s="859"/>
      <c r="P112" s="859"/>
      <c r="Q112" s="859"/>
      <c r="R112" s="859"/>
      <c r="S112" s="859"/>
      <c r="T112" s="859"/>
      <c r="U112" s="859"/>
      <c r="V112" s="859"/>
    </row>
    <row r="113" spans="1:22" customFormat="1" ht="36" customHeight="1" x14ac:dyDescent="0.15">
      <c r="A113" s="511" t="s">
        <v>639</v>
      </c>
      <c r="B113" s="1390" t="s">
        <v>757</v>
      </c>
      <c r="C113" s="1390"/>
      <c r="D113" s="1390"/>
      <c r="E113" s="1391"/>
      <c r="F113" s="457">
        <v>0</v>
      </c>
      <c r="G113" s="1406" t="str">
        <f>IF(F113="","RISPOSTA OBBLIGATORIA","")</f>
        <v/>
      </c>
      <c r="H113" s="1407"/>
      <c r="I113" s="301">
        <f>F113</f>
        <v>0</v>
      </c>
      <c r="O113" s="859"/>
      <c r="P113" s="859"/>
      <c r="Q113" s="859"/>
      <c r="R113" s="859"/>
      <c r="S113" s="859"/>
      <c r="T113" s="859"/>
      <c r="U113" s="859"/>
      <c r="V113" s="859"/>
    </row>
    <row r="114" spans="1:22" customFormat="1" ht="15" customHeight="1" x14ac:dyDescent="0.15">
      <c r="A114" s="511"/>
      <c r="B114" s="671"/>
      <c r="C114" s="671"/>
      <c r="D114" s="671"/>
      <c r="E114" s="671"/>
      <c r="F114" s="671"/>
      <c r="G114" s="557"/>
      <c r="H114" s="1215"/>
      <c r="I114" s="355"/>
      <c r="O114" s="859"/>
      <c r="P114" s="859"/>
      <c r="Q114" s="859"/>
      <c r="R114" s="859"/>
      <c r="S114" s="859"/>
      <c r="T114" s="859"/>
      <c r="U114" s="859"/>
      <c r="V114" s="859"/>
    </row>
    <row r="115" spans="1:22" customFormat="1" ht="15" hidden="1" customHeight="1" x14ac:dyDescent="0.15">
      <c r="A115" s="511"/>
      <c r="B115" s="671"/>
      <c r="C115" s="671"/>
      <c r="D115" s="671"/>
      <c r="E115" s="671"/>
      <c r="F115" s="671"/>
      <c r="G115" s="557"/>
      <c r="H115" s="1215"/>
      <c r="I115" s="355"/>
      <c r="O115" s="859"/>
      <c r="P115" s="859"/>
      <c r="Q115" s="859"/>
      <c r="R115" s="859"/>
      <c r="S115" s="859"/>
      <c r="T115" s="859"/>
      <c r="U115" s="859"/>
      <c r="V115" s="859"/>
    </row>
    <row r="116" spans="1:22" customFormat="1" ht="15" hidden="1" customHeight="1" x14ac:dyDescent="0.15">
      <c r="A116" s="511"/>
      <c r="B116" s="671"/>
      <c r="C116" s="671"/>
      <c r="D116" s="671"/>
      <c r="E116" s="671"/>
      <c r="F116" s="671"/>
      <c r="G116" s="557"/>
      <c r="H116" s="1215"/>
      <c r="I116" s="355"/>
      <c r="O116" s="859"/>
      <c r="P116" s="859"/>
      <c r="Q116" s="859"/>
      <c r="R116" s="859"/>
      <c r="S116" s="859"/>
      <c r="T116" s="859"/>
      <c r="U116" s="859"/>
      <c r="V116" s="859"/>
    </row>
    <row r="117" spans="1:22" customFormat="1" ht="15" hidden="1" customHeight="1" x14ac:dyDescent="0.15">
      <c r="A117" s="511"/>
      <c r="B117" s="671"/>
      <c r="C117" s="671"/>
      <c r="D117" s="671"/>
      <c r="E117" s="671"/>
      <c r="F117" s="671"/>
      <c r="G117" s="557"/>
      <c r="H117" s="1215"/>
      <c r="I117" s="355"/>
      <c r="O117" s="859"/>
      <c r="P117" s="859"/>
      <c r="Q117" s="859"/>
      <c r="R117" s="859"/>
      <c r="S117" s="859"/>
      <c r="T117" s="859"/>
      <c r="U117" s="859"/>
      <c r="V117" s="859"/>
    </row>
    <row r="118" spans="1:22" customFormat="1" ht="15" hidden="1" customHeight="1" x14ac:dyDescent="0.15">
      <c r="A118" s="511"/>
      <c r="B118" s="671"/>
      <c r="C118" s="671"/>
      <c r="D118" s="671"/>
      <c r="E118" s="671"/>
      <c r="F118" s="671"/>
      <c r="G118" s="557"/>
      <c r="H118" s="1215"/>
      <c r="I118" s="355"/>
      <c r="O118" s="859"/>
      <c r="P118" s="859"/>
      <c r="Q118" s="859"/>
      <c r="R118" s="859"/>
      <c r="S118" s="859"/>
      <c r="T118" s="859"/>
      <c r="U118" s="859"/>
      <c r="V118" s="859"/>
    </row>
    <row r="119" spans="1:22" customFormat="1" ht="15" hidden="1" customHeight="1" x14ac:dyDescent="0.15">
      <c r="A119" s="511"/>
      <c r="B119" s="671"/>
      <c r="C119" s="671"/>
      <c r="D119" s="671"/>
      <c r="E119" s="671"/>
      <c r="F119" s="671"/>
      <c r="G119" s="557"/>
      <c r="H119" s="1215"/>
      <c r="I119" s="355"/>
      <c r="O119" s="859"/>
      <c r="P119" s="859"/>
      <c r="Q119" s="859"/>
      <c r="R119" s="859"/>
      <c r="S119" s="859"/>
      <c r="T119" s="859"/>
      <c r="U119" s="859"/>
      <c r="V119" s="859"/>
    </row>
    <row r="120" spans="1:22" ht="15.6" hidden="1" customHeight="1" x14ac:dyDescent="0.15">
      <c r="B120" s="448"/>
      <c r="C120" s="448"/>
      <c r="D120" s="448"/>
      <c r="E120" s="448"/>
      <c r="F120" s="448"/>
      <c r="G120" s="448"/>
      <c r="H120" s="841"/>
      <c r="I120" s="454"/>
    </row>
    <row r="121" spans="1:22" ht="15" customHeight="1" x14ac:dyDescent="0.15">
      <c r="F121" s="455"/>
      <c r="H121" s="663"/>
      <c r="I121" s="482"/>
    </row>
    <row r="122" spans="1:22" ht="49.35" customHeight="1" x14ac:dyDescent="0.85">
      <c r="A122" s="838" t="s">
        <v>601</v>
      </c>
      <c r="B122" s="1398" t="s">
        <v>1034</v>
      </c>
      <c r="C122" s="1398"/>
      <c r="D122" s="1398"/>
      <c r="E122" s="1415"/>
      <c r="F122" s="792" t="s">
        <v>675</v>
      </c>
      <c r="G122" s="840" t="str">
        <f>IF(I122=0,"←","")</f>
        <v>←</v>
      </c>
      <c r="H122" s="568" t="str">
        <f>IF(I122=0,"RISPOSTA OBBLIGATORIA - Cliccare sulla cella per selezionare la risposta","")</f>
        <v>RISPOSTA OBBLIGATORIA - Cliccare sulla cella per selezionare la risposta</v>
      </c>
      <c r="I122" s="793">
        <f>IF(F122="Si",1,IF(F122="No",2,IF(F122="Non tenuto","X",0)))</f>
        <v>0</v>
      </c>
    </row>
    <row r="123" spans="1:22" ht="15" hidden="1" customHeight="1" x14ac:dyDescent="0.15">
      <c r="A123" s="838"/>
      <c r="B123" s="1216"/>
      <c r="C123" s="1216"/>
      <c r="D123" s="1216"/>
      <c r="E123" s="1216"/>
      <c r="F123" s="448"/>
      <c r="G123" s="1319"/>
      <c r="H123" s="1320"/>
      <c r="I123" s="1321"/>
    </row>
    <row r="124" spans="1:22" ht="15" hidden="1" customHeight="1" x14ac:dyDescent="0.15">
      <c r="A124" s="838"/>
      <c r="B124" s="1216"/>
      <c r="C124" s="1216"/>
      <c r="D124" s="1216"/>
      <c r="E124" s="1216"/>
      <c r="F124" s="448"/>
      <c r="G124" s="1319"/>
      <c r="H124" s="1320"/>
      <c r="I124" s="1321"/>
    </row>
    <row r="125" spans="1:22" ht="15" hidden="1" customHeight="1" x14ac:dyDescent="0.15">
      <c r="A125" s="838"/>
      <c r="B125" s="1216"/>
      <c r="C125" s="1216"/>
      <c r="D125" s="1216"/>
      <c r="E125" s="1216"/>
      <c r="F125" s="448"/>
      <c r="G125" s="1319"/>
      <c r="H125" s="1320"/>
      <c r="I125" s="1321"/>
    </row>
    <row r="126" spans="1:22" ht="15" customHeight="1" x14ac:dyDescent="0.15">
      <c r="A126" s="838"/>
      <c r="B126" s="1216"/>
      <c r="C126" s="1216"/>
      <c r="D126" s="1216"/>
      <c r="E126" s="1216"/>
      <c r="F126" s="448"/>
      <c r="G126" s="1319"/>
      <c r="H126" s="1320"/>
      <c r="I126" s="1321"/>
    </row>
    <row r="127" spans="1:22" ht="15" customHeight="1" x14ac:dyDescent="0.15">
      <c r="F127" s="455" t="s">
        <v>411</v>
      </c>
      <c r="G127" s="843"/>
      <c r="H127" s="1285"/>
      <c r="I127" s="858"/>
      <c r="J127" s="859"/>
      <c r="K127" s="859"/>
      <c r="L127" s="859"/>
    </row>
    <row r="128" spans="1:22" ht="36" customHeight="1" x14ac:dyDescent="0.15">
      <c r="A128" s="838" t="s">
        <v>677</v>
      </c>
      <c r="B128" s="1394" t="s">
        <v>966</v>
      </c>
      <c r="C128" s="1394"/>
      <c r="D128" s="1394"/>
      <c r="E128" s="1395"/>
      <c r="F128" s="457">
        <v>0</v>
      </c>
      <c r="G128" s="1406" t="str">
        <f>IF(F128="","RISPOSTA OBBLIGATORIA","")</f>
        <v/>
      </c>
      <c r="H128" s="1410"/>
      <c r="I128" s="301">
        <f>F128</f>
        <v>0</v>
      </c>
      <c r="J128" s="859"/>
      <c r="K128" s="859"/>
      <c r="L128" s="859"/>
    </row>
    <row r="129" spans="1:9" ht="15" customHeight="1" x14ac:dyDescent="0.15">
      <c r="B129" s="448"/>
      <c r="C129" s="448"/>
      <c r="D129" s="448"/>
      <c r="E129" s="448"/>
      <c r="F129" s="448"/>
      <c r="G129" s="448"/>
      <c r="H129" s="841"/>
      <c r="I129" s="454"/>
    </row>
    <row r="130" spans="1:9" ht="15" customHeight="1" x14ac:dyDescent="0.15">
      <c r="F130" s="455"/>
      <c r="H130" s="568"/>
      <c r="I130" s="482"/>
    </row>
    <row r="131" spans="1:9" ht="50.1" customHeight="1" x14ac:dyDescent="0.85">
      <c r="A131" s="838" t="s">
        <v>822</v>
      </c>
      <c r="B131" s="1398" t="s">
        <v>823</v>
      </c>
      <c r="C131" s="1398"/>
      <c r="D131" s="1398"/>
      <c r="E131" s="1415"/>
      <c r="F131" s="839" t="s">
        <v>675</v>
      </c>
      <c r="G131" s="840" t="str">
        <f>IF(I131=0,"←","")</f>
        <v>←</v>
      </c>
      <c r="H131" s="568" t="str">
        <f>IF(I131=0,"RISPOSTA OBBLIGATORIA - Cliccare sulla cella per selezionare la risposta","")</f>
        <v>RISPOSTA OBBLIGATORIA - Cliccare sulla cella per selezionare la risposta</v>
      </c>
      <c r="I131" s="793">
        <f>IF(F131="Sì, esiste un apposito Ufficio/Servizio",1,IF(F131="No",2,IF(F131="No, ma la funzione è esercitata da un altro ufficio","X",0)))</f>
        <v>0</v>
      </c>
    </row>
    <row r="132" spans="1:9" ht="15" customHeight="1" x14ac:dyDescent="0.15">
      <c r="B132" s="448"/>
      <c r="C132" s="448"/>
      <c r="D132" s="448"/>
      <c r="E132" s="448"/>
      <c r="F132" s="448"/>
      <c r="G132" s="448"/>
      <c r="H132" s="841"/>
      <c r="I132" s="454"/>
    </row>
    <row r="133" spans="1:9" ht="15" customHeight="1" x14ac:dyDescent="0.15">
      <c r="F133" s="455"/>
      <c r="H133" s="568"/>
      <c r="I133" s="482"/>
    </row>
    <row r="134" spans="1:9" ht="50.1" customHeight="1" x14ac:dyDescent="0.85">
      <c r="A134" s="838" t="s">
        <v>824</v>
      </c>
      <c r="B134" s="1398" t="s">
        <v>825</v>
      </c>
      <c r="C134" s="1398"/>
      <c r="D134" s="1398"/>
      <c r="E134" s="1415"/>
      <c r="F134" s="839" t="s">
        <v>675</v>
      </c>
      <c r="G134" s="840" t="str">
        <f>IF(I134=0,"←","")</f>
        <v>←</v>
      </c>
      <c r="H134" s="568" t="str">
        <f>IF(I134=0,"RISPOSTA OBBLIGATORIA - Cliccare sulla cella per selezionare la risposta","")</f>
        <v>RISPOSTA OBBLIGATORIA - Cliccare sulla cella per selezionare la risposta</v>
      </c>
      <c r="I134" s="793">
        <f>IF(F134="Sì, annuale per l'anno di rilevazione",1,IF(F134="No",2,IF(F134="Sì, pluriennale","X",0)))</f>
        <v>0</v>
      </c>
    </row>
    <row r="135" spans="1:9" ht="15" customHeight="1" x14ac:dyDescent="0.15">
      <c r="B135" s="448"/>
      <c r="C135" s="448"/>
      <c r="D135" s="448"/>
      <c r="E135" s="448"/>
      <c r="F135" s="448"/>
      <c r="G135" s="448"/>
      <c r="H135" s="841"/>
      <c r="I135" s="454"/>
    </row>
    <row r="136" spans="1:9" ht="18" customHeight="1" x14ac:dyDescent="0.15">
      <c r="A136" s="838" t="s">
        <v>826</v>
      </c>
      <c r="B136" s="1398" t="s">
        <v>827</v>
      </c>
      <c r="C136" s="1398"/>
      <c r="D136" s="1398"/>
      <c r="E136" s="1398"/>
      <c r="F136" s="448"/>
      <c r="G136" s="842" t="s">
        <v>828</v>
      </c>
      <c r="H136" s="841"/>
      <c r="I136" s="405"/>
    </row>
    <row r="137" spans="1:9" ht="15" customHeight="1" x14ac:dyDescent="0.15">
      <c r="B137" s="448"/>
      <c r="C137" s="1418" t="s">
        <v>829</v>
      </c>
      <c r="D137" s="1418"/>
      <c r="E137" s="1418"/>
      <c r="F137" s="455" t="s">
        <v>830</v>
      </c>
      <c r="G137" s="843"/>
      <c r="H137" s="844"/>
      <c r="I137" s="405"/>
    </row>
    <row r="138" spans="1:9" ht="15" customHeight="1" x14ac:dyDescent="0.15">
      <c r="C138" s="845" t="s">
        <v>831</v>
      </c>
      <c r="D138" s="846"/>
      <c r="E138" s="847"/>
      <c r="F138" s="457">
        <v>0</v>
      </c>
      <c r="G138" s="848" t="str">
        <f t="shared" ref="G138:G147" si="0">IF(F138="","RISPOSTA OBBLIGATORIA","")</f>
        <v/>
      </c>
      <c r="H138" s="1215"/>
      <c r="I138" s="460">
        <f>F138</f>
        <v>0</v>
      </c>
    </row>
    <row r="139" spans="1:9" ht="15" customHeight="1" x14ac:dyDescent="0.15">
      <c r="C139" s="845" t="s">
        <v>1003</v>
      </c>
      <c r="D139" s="849"/>
      <c r="E139" s="850"/>
      <c r="F139" s="457">
        <v>0</v>
      </c>
      <c r="G139" s="848" t="str">
        <f t="shared" si="0"/>
        <v/>
      </c>
      <c r="H139" s="1215"/>
      <c r="I139" s="460">
        <f t="shared" ref="I139:I147" si="1">F139</f>
        <v>0</v>
      </c>
    </row>
    <row r="140" spans="1:9" ht="15" hidden="1" customHeight="1" x14ac:dyDescent="0.15">
      <c r="C140" s="1294">
        <v>71</v>
      </c>
      <c r="D140" s="849"/>
      <c r="E140" s="850"/>
      <c r="F140" s="457">
        <v>0</v>
      </c>
      <c r="G140" s="848" t="str">
        <f t="shared" si="0"/>
        <v/>
      </c>
      <c r="H140" s="1215"/>
      <c r="I140" s="460">
        <f t="shared" si="1"/>
        <v>0</v>
      </c>
    </row>
    <row r="141" spans="1:9" ht="15" customHeight="1" x14ac:dyDescent="0.15">
      <c r="C141" s="845" t="s">
        <v>832</v>
      </c>
      <c r="D141" s="849"/>
      <c r="E141" s="850"/>
      <c r="F141" s="457">
        <v>0</v>
      </c>
      <c r="G141" s="848" t="str">
        <f t="shared" si="0"/>
        <v/>
      </c>
      <c r="H141" s="1215"/>
      <c r="I141" s="460">
        <f t="shared" si="1"/>
        <v>0</v>
      </c>
    </row>
    <row r="142" spans="1:9" ht="15" customHeight="1" x14ac:dyDescent="0.15">
      <c r="C142" s="845" t="s">
        <v>833</v>
      </c>
      <c r="D142" s="849"/>
      <c r="E142" s="850"/>
      <c r="F142" s="457">
        <v>0</v>
      </c>
      <c r="G142" s="848" t="str">
        <f t="shared" si="0"/>
        <v/>
      </c>
      <c r="H142" s="1215"/>
      <c r="I142" s="460">
        <f t="shared" si="1"/>
        <v>0</v>
      </c>
    </row>
    <row r="143" spans="1:9" ht="15" customHeight="1" x14ac:dyDescent="0.15">
      <c r="C143" s="845" t="s">
        <v>834</v>
      </c>
      <c r="D143" s="849"/>
      <c r="E143" s="850"/>
      <c r="F143" s="457">
        <v>0</v>
      </c>
      <c r="G143" s="848" t="str">
        <f t="shared" si="0"/>
        <v/>
      </c>
      <c r="H143" s="1215"/>
      <c r="I143" s="460">
        <f t="shared" si="1"/>
        <v>0</v>
      </c>
    </row>
    <row r="144" spans="1:9" ht="15" customHeight="1" x14ac:dyDescent="0.15">
      <c r="C144" s="845" t="s">
        <v>835</v>
      </c>
      <c r="D144" s="849"/>
      <c r="E144" s="850"/>
      <c r="F144" s="457">
        <v>0</v>
      </c>
      <c r="G144" s="848" t="str">
        <f t="shared" si="0"/>
        <v/>
      </c>
      <c r="H144" s="1215"/>
      <c r="I144" s="460">
        <f t="shared" si="1"/>
        <v>0</v>
      </c>
    </row>
    <row r="145" spans="1:9" ht="15" customHeight="1" x14ac:dyDescent="0.15">
      <c r="C145" s="845" t="s">
        <v>836</v>
      </c>
      <c r="D145" s="849"/>
      <c r="E145" s="850"/>
      <c r="F145" s="457">
        <v>0</v>
      </c>
      <c r="G145" s="848" t="str">
        <f t="shared" si="0"/>
        <v/>
      </c>
      <c r="H145" s="1215"/>
      <c r="I145" s="460">
        <f t="shared" si="1"/>
        <v>0</v>
      </c>
    </row>
    <row r="146" spans="1:9" ht="15" customHeight="1" x14ac:dyDescent="0.15">
      <c r="C146" s="845" t="s">
        <v>837</v>
      </c>
      <c r="D146" s="849"/>
      <c r="E146" s="850"/>
      <c r="F146" s="457">
        <v>0</v>
      </c>
      <c r="G146" s="848" t="str">
        <f t="shared" si="0"/>
        <v/>
      </c>
      <c r="H146" s="1215"/>
      <c r="I146" s="460">
        <f t="shared" si="1"/>
        <v>0</v>
      </c>
    </row>
    <row r="147" spans="1:9" ht="15" customHeight="1" x14ac:dyDescent="0.15">
      <c r="C147" s="845" t="s">
        <v>838</v>
      </c>
      <c r="D147" s="849"/>
      <c r="E147" s="850"/>
      <c r="F147" s="457">
        <v>0</v>
      </c>
      <c r="G147" s="848" t="str">
        <f t="shared" si="0"/>
        <v/>
      </c>
      <c r="H147" s="1215"/>
      <c r="I147" s="460">
        <f t="shared" si="1"/>
        <v>0</v>
      </c>
    </row>
    <row r="148" spans="1:9" ht="15" customHeight="1" x14ac:dyDescent="0.15">
      <c r="B148" s="448"/>
      <c r="C148" s="448"/>
      <c r="D148" s="448"/>
      <c r="E148" s="448"/>
      <c r="F148" s="1296">
        <f>SUM(F138:F147)</f>
        <v>0</v>
      </c>
      <c r="G148" s="851"/>
      <c r="H148" s="852"/>
      <c r="I148" s="482"/>
    </row>
    <row r="149" spans="1:9" ht="36" customHeight="1" x14ac:dyDescent="0.15">
      <c r="A149" s="838" t="s">
        <v>839</v>
      </c>
      <c r="B149" s="1398" t="s">
        <v>1004</v>
      </c>
      <c r="C149" s="1398"/>
      <c r="D149" s="1398"/>
      <c r="E149" s="1398"/>
      <c r="F149" s="448"/>
      <c r="G149" s="842" t="s">
        <v>840</v>
      </c>
      <c r="H149" s="841"/>
      <c r="I149" s="405"/>
    </row>
    <row r="150" spans="1:9" ht="15" customHeight="1" x14ac:dyDescent="0.15">
      <c r="B150" s="448"/>
      <c r="C150" s="1418" t="s">
        <v>829</v>
      </c>
      <c r="D150" s="1418"/>
      <c r="E150" s="1418"/>
      <c r="F150" s="455" t="s">
        <v>858</v>
      </c>
      <c r="G150" s="843"/>
      <c r="H150" s="844"/>
      <c r="I150" s="405"/>
    </row>
    <row r="151" spans="1:9" ht="15" customHeight="1" x14ac:dyDescent="0.15">
      <c r="C151" s="845" t="s">
        <v>841</v>
      </c>
      <c r="D151" s="846"/>
      <c r="E151" s="847"/>
      <c r="F151" s="457">
        <v>0</v>
      </c>
      <c r="G151" s="848" t="str">
        <f t="shared" ref="G151:G159" si="2">IF(F151="","RISPOSTA OBBLIGATORIA","")</f>
        <v/>
      </c>
      <c r="H151" s="1215"/>
      <c r="I151" s="460">
        <f>F151</f>
        <v>0</v>
      </c>
    </row>
    <row r="152" spans="1:9" ht="15" customHeight="1" x14ac:dyDescent="0.15">
      <c r="C152" s="845" t="s">
        <v>842</v>
      </c>
      <c r="D152" s="849"/>
      <c r="E152" s="850"/>
      <c r="F152" s="457">
        <v>0</v>
      </c>
      <c r="G152" s="848" t="str">
        <f t="shared" si="2"/>
        <v/>
      </c>
      <c r="H152" s="1215"/>
      <c r="I152" s="460">
        <f t="shared" ref="I152:I159" si="3">F152</f>
        <v>0</v>
      </c>
    </row>
    <row r="153" spans="1:9" ht="15" customHeight="1" x14ac:dyDescent="0.15">
      <c r="C153" s="845" t="s">
        <v>843</v>
      </c>
      <c r="D153" s="849"/>
      <c r="E153" s="850"/>
      <c r="F153" s="457">
        <v>0</v>
      </c>
      <c r="G153" s="848" t="str">
        <f t="shared" si="2"/>
        <v/>
      </c>
      <c r="H153" s="1215"/>
      <c r="I153" s="460">
        <f t="shared" si="3"/>
        <v>0</v>
      </c>
    </row>
    <row r="154" spans="1:9" ht="15" customHeight="1" x14ac:dyDescent="0.15">
      <c r="C154" s="845" t="s">
        <v>844</v>
      </c>
      <c r="D154" s="849"/>
      <c r="E154" s="850"/>
      <c r="F154" s="457">
        <v>0</v>
      </c>
      <c r="G154" s="848" t="str">
        <f t="shared" si="2"/>
        <v/>
      </c>
      <c r="H154" s="1215"/>
      <c r="I154" s="460">
        <f t="shared" si="3"/>
        <v>0</v>
      </c>
    </row>
    <row r="155" spans="1:9" ht="15" customHeight="1" x14ac:dyDescent="0.15">
      <c r="C155" s="845" t="s">
        <v>845</v>
      </c>
      <c r="D155" s="849"/>
      <c r="E155" s="850"/>
      <c r="F155" s="457">
        <v>0</v>
      </c>
      <c r="G155" s="848" t="str">
        <f t="shared" si="2"/>
        <v/>
      </c>
      <c r="H155" s="1215"/>
      <c r="I155" s="460">
        <f t="shared" si="3"/>
        <v>0</v>
      </c>
    </row>
    <row r="156" spans="1:9" ht="15" customHeight="1" x14ac:dyDescent="0.15">
      <c r="C156" s="845" t="s">
        <v>846</v>
      </c>
      <c r="D156" s="849"/>
      <c r="E156" s="850"/>
      <c r="F156" s="457">
        <v>0</v>
      </c>
      <c r="G156" s="848" t="str">
        <f t="shared" si="2"/>
        <v/>
      </c>
      <c r="H156" s="1215"/>
      <c r="I156" s="460">
        <f t="shared" si="3"/>
        <v>0</v>
      </c>
    </row>
    <row r="157" spans="1:9" ht="15" customHeight="1" x14ac:dyDescent="0.15">
      <c r="C157" s="845" t="s">
        <v>847</v>
      </c>
      <c r="D157" s="849"/>
      <c r="E157" s="850"/>
      <c r="F157" s="457">
        <v>0</v>
      </c>
      <c r="G157" s="848" t="str">
        <f t="shared" si="2"/>
        <v/>
      </c>
      <c r="H157" s="1215"/>
      <c r="I157" s="460">
        <f t="shared" si="3"/>
        <v>0</v>
      </c>
    </row>
    <row r="158" spans="1:9" ht="15" customHeight="1" x14ac:dyDescent="0.15">
      <c r="C158" s="845" t="s">
        <v>848</v>
      </c>
      <c r="D158" s="849"/>
      <c r="E158" s="850"/>
      <c r="F158" s="457">
        <v>0</v>
      </c>
      <c r="G158" s="848" t="str">
        <f t="shared" si="2"/>
        <v/>
      </c>
      <c r="H158" s="1215"/>
      <c r="I158" s="460">
        <f t="shared" si="3"/>
        <v>0</v>
      </c>
    </row>
    <row r="159" spans="1:9" ht="15" customHeight="1" x14ac:dyDescent="0.15">
      <c r="C159" s="845" t="s">
        <v>849</v>
      </c>
      <c r="D159" s="849"/>
      <c r="E159" s="850"/>
      <c r="F159" s="457">
        <v>0</v>
      </c>
      <c r="G159" s="848" t="str">
        <f t="shared" si="2"/>
        <v/>
      </c>
      <c r="H159" s="1215"/>
      <c r="I159" s="460">
        <f t="shared" si="3"/>
        <v>0</v>
      </c>
    </row>
    <row r="160" spans="1:9" ht="15" customHeight="1" x14ac:dyDescent="0.15">
      <c r="B160" s="448"/>
      <c r="C160" s="448"/>
      <c r="D160" s="448"/>
      <c r="E160" s="448"/>
      <c r="F160" s="448"/>
      <c r="G160" s="448"/>
      <c r="H160" s="841"/>
      <c r="I160" s="405"/>
    </row>
    <row r="161" spans="1:22" ht="15" customHeight="1" x14ac:dyDescent="0.15">
      <c r="A161" s="838" t="s">
        <v>850</v>
      </c>
      <c r="B161" s="1398" t="s">
        <v>851</v>
      </c>
      <c r="C161" s="1398"/>
      <c r="D161" s="1398"/>
      <c r="E161" s="1398"/>
      <c r="F161" s="455" t="s">
        <v>271</v>
      </c>
      <c r="G161" s="455" t="s">
        <v>272</v>
      </c>
      <c r="H161" s="841"/>
    </row>
    <row r="162" spans="1:22" ht="21" customHeight="1" x14ac:dyDescent="0.15">
      <c r="B162" s="448"/>
      <c r="C162" s="1419" t="s">
        <v>852</v>
      </c>
      <c r="D162" s="1419"/>
      <c r="E162" s="1419"/>
      <c r="F162" s="431"/>
      <c r="G162" s="431"/>
      <c r="H162" s="853" t="str">
        <f>IF(I162=0,"RISPOSTA OBBLIGATORIA","")</f>
        <v>RISPOSTA OBBLIGATORIA</v>
      </c>
      <c r="I162" s="481">
        <v>0</v>
      </c>
      <c r="J162" s="480" t="str">
        <f>IF(I162=1,"VERO",IF(I162=2,"FALSO",""))</f>
        <v/>
      </c>
    </row>
    <row r="163" spans="1:22" ht="21" customHeight="1" x14ac:dyDescent="0.15">
      <c r="B163" s="448"/>
      <c r="C163" s="1419" t="s">
        <v>853</v>
      </c>
      <c r="D163" s="1419"/>
      <c r="E163" s="1419"/>
      <c r="F163" s="431"/>
      <c r="G163" s="431"/>
      <c r="H163" s="853" t="str">
        <f>IF(I163=0,"RISPOSTA OBBLIGATORIA","")</f>
        <v>RISPOSTA OBBLIGATORIA</v>
      </c>
      <c r="I163" s="481">
        <v>0</v>
      </c>
      <c r="J163" s="480" t="str">
        <f>IF(I163=1,"VERO",IF(I163=2,"FALSO",""))</f>
        <v/>
      </c>
    </row>
    <row r="164" spans="1:22" ht="21" customHeight="1" x14ac:dyDescent="0.15">
      <c r="B164" s="448"/>
      <c r="C164" s="1419" t="s">
        <v>854</v>
      </c>
      <c r="D164" s="1419"/>
      <c r="E164" s="1419"/>
      <c r="F164" s="431"/>
      <c r="G164" s="431"/>
      <c r="H164" s="853" t="str">
        <f>IF(I164=0,"RISPOSTA OBBLIGATORIA","")</f>
        <v>RISPOSTA OBBLIGATORIA</v>
      </c>
      <c r="I164" s="481">
        <v>0</v>
      </c>
      <c r="J164" s="480" t="str">
        <f>IF(I164=1,"VERO",IF(I164=2,"FALSO",""))</f>
        <v/>
      </c>
    </row>
    <row r="165" spans="1:22" ht="21" customHeight="1" x14ac:dyDescent="0.15">
      <c r="B165" s="448"/>
      <c r="C165" s="1419" t="s">
        <v>855</v>
      </c>
      <c r="D165" s="1419"/>
      <c r="E165" s="1419"/>
      <c r="F165" s="431"/>
      <c r="G165" s="431"/>
      <c r="H165" s="853" t="str">
        <f>IF(I165=0,"RISPOSTA OBBLIGATORIA","")</f>
        <v>RISPOSTA OBBLIGATORIA</v>
      </c>
      <c r="I165" s="481">
        <v>0</v>
      </c>
      <c r="J165" s="480" t="str">
        <f>IF(I165=1,"VERO",IF(I165=2,"FALSO",""))</f>
        <v/>
      </c>
    </row>
    <row r="166" spans="1:22" ht="23.85" customHeight="1" x14ac:dyDescent="0.15">
      <c r="B166" s="448"/>
      <c r="C166" s="1419" t="s">
        <v>856</v>
      </c>
      <c r="D166" s="1419"/>
      <c r="E166" s="1419"/>
      <c r="F166" s="431"/>
      <c r="G166" s="431"/>
      <c r="H166" s="853" t="str">
        <f>IF(I166=0,"RISPOSTA OBBLIGATORIA","")</f>
        <v>RISPOSTA OBBLIGATORIA</v>
      </c>
      <c r="I166" s="481">
        <v>0</v>
      </c>
      <c r="J166" s="480" t="str">
        <f>IF(I166=1,"VERO",IF(I166=2,"FALSO",""))</f>
        <v/>
      </c>
    </row>
    <row r="167" spans="1:22" ht="15" customHeight="1" x14ac:dyDescent="0.15">
      <c r="B167" s="448"/>
      <c r="C167" s="448"/>
      <c r="D167" s="448"/>
      <c r="E167" s="448"/>
      <c r="F167" s="448"/>
      <c r="G167" s="448"/>
      <c r="H167" s="841"/>
      <c r="I167" s="405"/>
    </row>
    <row r="168" spans="1:22" ht="15" customHeight="1" x14ac:dyDescent="0.15">
      <c r="A168" s="480"/>
      <c r="B168" s="480"/>
      <c r="C168" s="480"/>
      <c r="D168" s="480"/>
      <c r="E168" s="480"/>
      <c r="F168" s="455" t="s">
        <v>411</v>
      </c>
      <c r="G168" s="448"/>
      <c r="H168" s="841"/>
      <c r="I168" s="454"/>
      <c r="O168" s="480"/>
      <c r="P168" s="480"/>
      <c r="Q168" s="480"/>
      <c r="R168" s="480"/>
      <c r="S168" s="480"/>
      <c r="T168" s="480"/>
      <c r="U168" s="480"/>
      <c r="V168" s="480"/>
    </row>
    <row r="169" spans="1:22" ht="35.85" customHeight="1" x14ac:dyDescent="0.15">
      <c r="A169" s="1297" t="s">
        <v>1005</v>
      </c>
      <c r="B169" s="1398" t="s">
        <v>1006</v>
      </c>
      <c r="C169" s="1398"/>
      <c r="D169" s="1398"/>
      <c r="E169" s="1415"/>
      <c r="F169" s="457">
        <v>0</v>
      </c>
      <c r="G169" s="448"/>
      <c r="H169" s="841"/>
      <c r="I169" s="301">
        <f>F169</f>
        <v>0</v>
      </c>
      <c r="O169" s="480"/>
      <c r="P169" s="480"/>
      <c r="Q169" s="480"/>
      <c r="R169" s="480"/>
      <c r="S169" s="480"/>
      <c r="T169" s="480"/>
      <c r="U169" s="480"/>
      <c r="V169" s="480"/>
    </row>
    <row r="170" spans="1:22" ht="15" customHeight="1" x14ac:dyDescent="0.15">
      <c r="A170" s="556"/>
      <c r="B170" s="448"/>
      <c r="C170" s="448"/>
      <c r="D170" s="448"/>
      <c r="E170" s="448"/>
      <c r="F170" s="448"/>
      <c r="G170" s="448"/>
      <c r="H170" s="841"/>
      <c r="I170" s="454"/>
      <c r="O170" s="480"/>
      <c r="P170" s="480"/>
      <c r="Q170" s="480"/>
      <c r="R170" s="480"/>
      <c r="S170" s="480"/>
      <c r="T170" s="480"/>
      <c r="U170" s="480"/>
      <c r="V170" s="480"/>
    </row>
    <row r="171" spans="1:22" ht="15" customHeight="1" x14ac:dyDescent="0.15">
      <c r="A171" s="1286"/>
      <c r="B171" s="480"/>
      <c r="C171" s="480"/>
      <c r="D171" s="480"/>
      <c r="E171" s="480"/>
      <c r="F171" s="455" t="s">
        <v>1007</v>
      </c>
      <c r="G171" s="455" t="s">
        <v>1008</v>
      </c>
      <c r="H171" s="841"/>
      <c r="I171" s="454"/>
      <c r="O171" s="480"/>
      <c r="P171" s="480"/>
      <c r="Q171" s="480"/>
      <c r="R171" s="480"/>
      <c r="S171" s="480"/>
      <c r="T171" s="480"/>
      <c r="U171" s="480"/>
      <c r="V171" s="480"/>
    </row>
    <row r="172" spans="1:22" ht="36.6" customHeight="1" x14ac:dyDescent="0.15">
      <c r="A172" s="1297" t="s">
        <v>1009</v>
      </c>
      <c r="B172" s="1398" t="s">
        <v>1010</v>
      </c>
      <c r="C172" s="1398"/>
      <c r="D172" s="1398"/>
      <c r="E172" s="1398"/>
      <c r="F172" s="431"/>
      <c r="G172" s="431"/>
      <c r="H172" s="1298" t="str">
        <f>IF(I172=0,"RISPOSTA OBBLIGATORIA","")</f>
        <v>RISPOSTA OBBLIGATORIA</v>
      </c>
      <c r="I172" s="454">
        <v>0</v>
      </c>
      <c r="J172" s="480" t="str">
        <f>IF(I172=1,"VERO",IF(I172=2,"FALSO",""))</f>
        <v/>
      </c>
      <c r="O172" s="480"/>
      <c r="P172" s="480"/>
      <c r="Q172" s="480"/>
      <c r="R172" s="480"/>
      <c r="S172" s="480"/>
      <c r="T172" s="480"/>
      <c r="U172" s="480"/>
      <c r="V172" s="480"/>
    </row>
    <row r="173" spans="1:22" ht="15" customHeight="1" x14ac:dyDescent="0.15">
      <c r="B173" s="448"/>
      <c r="C173" s="448"/>
      <c r="D173" s="448"/>
      <c r="E173" s="448"/>
      <c r="F173" s="448"/>
      <c r="G173" s="448"/>
      <c r="H173" s="841"/>
      <c r="I173" s="405"/>
      <c r="O173" s="480"/>
      <c r="P173" s="480"/>
      <c r="Q173" s="480"/>
      <c r="R173" s="480"/>
      <c r="S173" s="480"/>
      <c r="T173" s="480"/>
      <c r="U173" s="480"/>
      <c r="V173" s="480"/>
    </row>
    <row r="174" spans="1:22" ht="27.75" customHeight="1" x14ac:dyDescent="0.15">
      <c r="A174" s="838" t="s">
        <v>1011</v>
      </c>
      <c r="B174" s="1398" t="s">
        <v>1012</v>
      </c>
      <c r="C174" s="1398"/>
      <c r="D174" s="1398"/>
      <c r="E174" s="1398"/>
      <c r="F174" s="480"/>
      <c r="G174" s="448"/>
      <c r="H174" s="841"/>
      <c r="I174" s="405"/>
      <c r="O174" s="480"/>
      <c r="P174" s="480"/>
      <c r="Q174" s="480"/>
      <c r="R174" s="480"/>
      <c r="S174" s="480"/>
      <c r="T174" s="480"/>
      <c r="U174" s="480"/>
      <c r="V174" s="480"/>
    </row>
    <row r="175" spans="1:22" ht="15" customHeight="1" x14ac:dyDescent="0.15">
      <c r="B175" s="1216"/>
      <c r="C175" s="1216"/>
      <c r="D175" s="1216"/>
      <c r="E175" s="1216"/>
      <c r="F175" s="455" t="s">
        <v>411</v>
      </c>
      <c r="G175" s="448"/>
      <c r="H175" s="841"/>
      <c r="I175" s="405"/>
      <c r="O175" s="480"/>
      <c r="P175" s="480"/>
      <c r="Q175" s="480"/>
      <c r="R175" s="480"/>
      <c r="S175" s="480"/>
      <c r="T175" s="480"/>
      <c r="U175" s="480"/>
      <c r="V175" s="480"/>
    </row>
    <row r="176" spans="1:22" ht="20.85" customHeight="1" x14ac:dyDescent="0.15">
      <c r="B176" s="480"/>
      <c r="C176" s="1419" t="s">
        <v>1013</v>
      </c>
      <c r="D176" s="1419"/>
      <c r="E176" s="1419"/>
      <c r="F176" s="457">
        <v>0</v>
      </c>
      <c r="G176" s="448"/>
      <c r="H176" s="841"/>
      <c r="I176" s="460">
        <f>F176</f>
        <v>0</v>
      </c>
      <c r="O176" s="480"/>
      <c r="P176" s="480"/>
      <c r="Q176" s="480"/>
      <c r="R176" s="480"/>
      <c r="S176" s="480"/>
      <c r="T176" s="480"/>
      <c r="U176" s="480"/>
      <c r="V176" s="480"/>
    </row>
    <row r="177" spans="1:9" s="480" customFormat="1" ht="20.85" customHeight="1" x14ac:dyDescent="0.15">
      <c r="A177" s="511"/>
      <c r="C177" s="1419" t="s">
        <v>1014</v>
      </c>
      <c r="D177" s="1419"/>
      <c r="E177" s="1419"/>
      <c r="F177" s="457">
        <v>0</v>
      </c>
      <c r="G177" s="448"/>
      <c r="H177" s="841"/>
      <c r="I177" s="460">
        <f>F177</f>
        <v>0</v>
      </c>
    </row>
    <row r="178" spans="1:9" s="480" customFormat="1" ht="20.85" customHeight="1" x14ac:dyDescent="0.15">
      <c r="A178" s="511"/>
      <c r="C178" s="1419" t="s">
        <v>1015</v>
      </c>
      <c r="D178" s="1419"/>
      <c r="E178" s="1419"/>
      <c r="F178" s="457">
        <v>0</v>
      </c>
      <c r="G178" s="448"/>
      <c r="H178" s="841"/>
      <c r="I178" s="460">
        <f>F178</f>
        <v>0</v>
      </c>
    </row>
    <row r="179" spans="1:9" s="480" customFormat="1" ht="15" customHeight="1" x14ac:dyDescent="0.15">
      <c r="A179" s="511"/>
      <c r="B179" s="448"/>
      <c r="C179" s="448"/>
      <c r="D179" s="448"/>
      <c r="E179" s="448"/>
      <c r="F179" s="448"/>
      <c r="G179" s="448"/>
      <c r="H179" s="841"/>
      <c r="I179" s="405"/>
    </row>
    <row r="180" spans="1:9" s="480" customFormat="1" ht="27.75" customHeight="1" x14ac:dyDescent="0.15">
      <c r="A180" s="838" t="s">
        <v>1016</v>
      </c>
      <c r="B180" s="1398" t="s">
        <v>1017</v>
      </c>
      <c r="C180" s="1398"/>
      <c r="D180" s="1398"/>
      <c r="E180" s="1398"/>
      <c r="F180" s="1398"/>
      <c r="G180" s="448"/>
      <c r="H180" s="841"/>
      <c r="I180" s="405"/>
    </row>
    <row r="181" spans="1:9" s="480" customFormat="1" ht="15" customHeight="1" x14ac:dyDescent="0.15">
      <c r="A181" s="511"/>
      <c r="E181" s="448"/>
      <c r="F181" s="455" t="s">
        <v>411</v>
      </c>
      <c r="G181" s="448"/>
      <c r="H181" s="841"/>
      <c r="I181" s="405"/>
    </row>
    <row r="182" spans="1:9" s="480" customFormat="1" ht="20.85" customHeight="1" x14ac:dyDescent="0.15">
      <c r="A182" s="511"/>
      <c r="C182" s="1419" t="s">
        <v>1018</v>
      </c>
      <c r="D182" s="1419"/>
      <c r="E182" s="1419"/>
      <c r="F182" s="457">
        <v>0</v>
      </c>
      <c r="G182" s="448"/>
      <c r="H182" s="841"/>
      <c r="I182" s="460">
        <f>F182</f>
        <v>0</v>
      </c>
    </row>
    <row r="183" spans="1:9" s="480" customFormat="1" ht="20.85" customHeight="1" x14ac:dyDescent="0.15">
      <c r="A183" s="511"/>
      <c r="C183" s="1419" t="s">
        <v>1019</v>
      </c>
      <c r="D183" s="1419"/>
      <c r="E183" s="1419"/>
      <c r="F183" s="457">
        <v>0</v>
      </c>
      <c r="G183" s="448"/>
      <c r="H183" s="841"/>
      <c r="I183" s="460">
        <f>F183</f>
        <v>0</v>
      </c>
    </row>
    <row r="184" spans="1:9" s="480" customFormat="1" ht="20.85" customHeight="1" x14ac:dyDescent="0.15">
      <c r="A184" s="511"/>
      <c r="B184" s="448"/>
      <c r="C184" s="1419" t="s">
        <v>1020</v>
      </c>
      <c r="D184" s="1419"/>
      <c r="E184" s="1419"/>
      <c r="F184" s="457">
        <v>0</v>
      </c>
      <c r="G184" s="448"/>
      <c r="H184" s="841"/>
      <c r="I184" s="460">
        <f>F184</f>
        <v>0</v>
      </c>
    </row>
    <row r="185" spans="1:9" s="480" customFormat="1" ht="15" customHeight="1" x14ac:dyDescent="0.15">
      <c r="A185" s="511"/>
      <c r="B185" s="448"/>
      <c r="F185" s="448"/>
      <c r="G185" s="448"/>
      <c r="H185" s="841"/>
      <c r="I185" s="405"/>
    </row>
    <row r="186" spans="1:9" s="480" customFormat="1" ht="27.75" customHeight="1" x14ac:dyDescent="0.15">
      <c r="A186" s="838" t="s">
        <v>1021</v>
      </c>
      <c r="B186" s="1398" t="s">
        <v>1022</v>
      </c>
      <c r="C186" s="1398"/>
      <c r="D186" s="1398"/>
      <c r="E186" s="1398"/>
      <c r="F186" s="448"/>
      <c r="G186" s="448"/>
      <c r="H186" s="841"/>
      <c r="I186" s="405"/>
    </row>
    <row r="187" spans="1:9" s="480" customFormat="1" ht="15" customHeight="1" x14ac:dyDescent="0.15">
      <c r="A187" s="511"/>
      <c r="F187" s="455" t="s">
        <v>411</v>
      </c>
      <c r="G187" s="448"/>
      <c r="H187" s="841"/>
      <c r="I187" s="405"/>
    </row>
    <row r="188" spans="1:9" s="480" customFormat="1" ht="20.85" customHeight="1" x14ac:dyDescent="0.15">
      <c r="A188" s="511"/>
      <c r="C188" s="1419" t="s">
        <v>1023</v>
      </c>
      <c r="D188" s="1419"/>
      <c r="E188" s="1419"/>
      <c r="F188" s="457">
        <v>0</v>
      </c>
      <c r="G188" s="448"/>
      <c r="H188" s="841"/>
      <c r="I188" s="460">
        <f>F188</f>
        <v>0</v>
      </c>
    </row>
    <row r="189" spans="1:9" s="480" customFormat="1" ht="20.85" customHeight="1" x14ac:dyDescent="0.15">
      <c r="A189" s="511"/>
      <c r="C189" s="1419" t="s">
        <v>1024</v>
      </c>
      <c r="D189" s="1419"/>
      <c r="E189" s="1419"/>
      <c r="F189" s="457">
        <v>0</v>
      </c>
      <c r="G189" s="448"/>
      <c r="H189" s="841"/>
      <c r="I189" s="460">
        <f>F189</f>
        <v>0</v>
      </c>
    </row>
    <row r="190" spans="1:9" s="480" customFormat="1" ht="20.85" customHeight="1" x14ac:dyDescent="0.15">
      <c r="A190" s="511"/>
      <c r="B190" s="1420" t="s">
        <v>1025</v>
      </c>
      <c r="C190" s="1420"/>
      <c r="D190" s="1420"/>
      <c r="H190" s="841"/>
      <c r="I190" s="405"/>
    </row>
    <row r="191" spans="1:9" s="480" customFormat="1" ht="20.85" customHeight="1" x14ac:dyDescent="0.15">
      <c r="A191" s="511"/>
      <c r="C191" s="1419" t="s">
        <v>1026</v>
      </c>
      <c r="D191" s="1419"/>
      <c r="E191" s="1419"/>
      <c r="F191" s="457">
        <v>0</v>
      </c>
      <c r="G191" s="448"/>
      <c r="H191" s="1433" t="str">
        <f>IF(F191+F192+F193=F188+F189," ","ATTENZIONE!
Il totale delle persone indicate nelle domande 111, 112 e 113 DEVE essere uguale al totale delle persone indicate nelle domande 109 e 110")</f>
        <v xml:space="preserve"> </v>
      </c>
      <c r="I191" s="460">
        <f>F191</f>
        <v>0</v>
      </c>
    </row>
    <row r="192" spans="1:9" s="480" customFormat="1" ht="20.85" customHeight="1" x14ac:dyDescent="0.15">
      <c r="A192" s="511"/>
      <c r="C192" s="1419" t="s">
        <v>1027</v>
      </c>
      <c r="D192" s="1419"/>
      <c r="E192" s="1419"/>
      <c r="F192" s="457">
        <v>0</v>
      </c>
      <c r="G192" s="448"/>
      <c r="H192" s="1433"/>
      <c r="I192" s="460">
        <f>F192</f>
        <v>0</v>
      </c>
    </row>
    <row r="193" spans="1:9" s="480" customFormat="1" ht="20.85" customHeight="1" x14ac:dyDescent="0.15">
      <c r="A193" s="511"/>
      <c r="B193" s="448"/>
      <c r="C193" s="1419" t="s">
        <v>1028</v>
      </c>
      <c r="D193" s="1419"/>
      <c r="E193" s="1419"/>
      <c r="F193" s="457">
        <v>0</v>
      </c>
      <c r="G193" s="448"/>
      <c r="H193" s="1433"/>
      <c r="I193" s="460">
        <f>F193</f>
        <v>0</v>
      </c>
    </row>
    <row r="194" spans="1:9" s="480" customFormat="1" ht="15" customHeight="1" x14ac:dyDescent="0.15">
      <c r="A194" s="511"/>
      <c r="B194" s="448"/>
      <c r="C194" s="448"/>
      <c r="D194" s="448"/>
      <c r="E194" s="448"/>
      <c r="F194" s="448"/>
      <c r="G194" s="448"/>
      <c r="H194" s="841"/>
      <c r="I194" s="405"/>
    </row>
    <row r="195" spans="1:9" s="480" customFormat="1" ht="15" customHeight="1" x14ac:dyDescent="0.15">
      <c r="A195" s="511"/>
      <c r="B195" s="448"/>
      <c r="C195" s="448"/>
      <c r="D195" s="448"/>
      <c r="E195" s="448"/>
      <c r="F195" s="455" t="s">
        <v>411</v>
      </c>
      <c r="G195" s="448"/>
      <c r="H195" s="841"/>
      <c r="I195" s="405"/>
    </row>
    <row r="196" spans="1:9" s="480" customFormat="1" ht="30" customHeight="1" x14ac:dyDescent="0.15">
      <c r="A196" s="838" t="s">
        <v>1029</v>
      </c>
      <c r="B196" s="1398" t="s">
        <v>1030</v>
      </c>
      <c r="C196" s="1398"/>
      <c r="D196" s="1398"/>
      <c r="E196" s="1398"/>
      <c r="F196" s="457">
        <v>0</v>
      </c>
      <c r="G196" s="448"/>
      <c r="H196" s="1299" t="str">
        <f>IF(F196&gt;(F176+F177+F178),"ATTENZIONE!
Il numero delle persone indicate nella domanda DEVE essere minore od uguale alla totale delle persone indicate nelle domande 101, 102 e 103."," ")</f>
        <v xml:space="preserve"> </v>
      </c>
      <c r="I196" s="480">
        <f>F196</f>
        <v>0</v>
      </c>
    </row>
    <row r="197" spans="1:9" s="480" customFormat="1" ht="15" customHeight="1" x14ac:dyDescent="0.15">
      <c r="A197" s="511"/>
      <c r="B197" s="448"/>
      <c r="C197" s="448"/>
      <c r="D197" s="448"/>
      <c r="E197" s="448"/>
      <c r="F197" s="448"/>
      <c r="G197" s="448"/>
      <c r="H197" s="841"/>
      <c r="I197" s="405"/>
    </row>
    <row r="198" spans="1:9" s="480" customFormat="1" ht="30" customHeight="1" x14ac:dyDescent="0.15">
      <c r="A198" s="838" t="s">
        <v>1031</v>
      </c>
      <c r="B198" s="1398" t="s">
        <v>1032</v>
      </c>
      <c r="C198" s="1398"/>
      <c r="D198" s="1398"/>
      <c r="E198" s="1398"/>
      <c r="F198" s="457">
        <v>0</v>
      </c>
      <c r="G198" s="448"/>
      <c r="H198" s="1299" t="str">
        <f>IF(F198&gt;(F188+F189),"ATTENZIONE!
Il numero delle persone indicate nella domanda DEVE essere minore od uguale alla totale delle persone indicate nelle domande 109 e 110."," ")</f>
        <v xml:space="preserve"> </v>
      </c>
      <c r="I198" s="480">
        <f>F198</f>
        <v>0</v>
      </c>
    </row>
    <row r="199" spans="1:9" ht="15" customHeight="1" x14ac:dyDescent="0.15">
      <c r="B199" s="448"/>
      <c r="C199" s="448"/>
      <c r="D199" s="448"/>
      <c r="E199" s="448"/>
      <c r="F199" s="448"/>
      <c r="G199" s="448"/>
      <c r="H199" s="841"/>
      <c r="I199" s="405"/>
    </row>
    <row r="200" spans="1:9" ht="15" customHeight="1" x14ac:dyDescent="0.15">
      <c r="B200" s="448"/>
      <c r="C200" s="448"/>
      <c r="D200" s="448"/>
      <c r="E200" s="448"/>
      <c r="F200" s="448"/>
      <c r="G200" s="448"/>
      <c r="H200" s="841"/>
      <c r="I200" s="405"/>
    </row>
    <row r="201" spans="1:9" ht="15" customHeight="1" x14ac:dyDescent="0.15">
      <c r="B201" s="1421" t="s">
        <v>413</v>
      </c>
      <c r="C201" s="1399"/>
      <c r="D201" s="1400"/>
      <c r="E201" s="457"/>
      <c r="F201" s="1426" t="str">
        <f>IF(E201:E250=0,"RISPOSTA OBBLIGATORIA","")</f>
        <v>RISPOSTA OBBLIGATORIA</v>
      </c>
      <c r="G201" s="1438"/>
      <c r="H201" s="1439"/>
      <c r="I201" s="454"/>
    </row>
    <row r="202" spans="1:9" ht="15" customHeight="1" x14ac:dyDescent="0.15">
      <c r="B202" s="1399"/>
      <c r="C202" s="1399"/>
      <c r="D202" s="1400"/>
      <c r="E202" s="461"/>
      <c r="F202" s="1440"/>
      <c r="G202" s="1441"/>
      <c r="H202" s="1442"/>
      <c r="I202" s="405"/>
    </row>
    <row r="203" spans="1:9" ht="15" customHeight="1" x14ac:dyDescent="0.15">
      <c r="A203" s="1272"/>
      <c r="B203" s="1399"/>
      <c r="C203" s="1399"/>
      <c r="D203" s="1400"/>
      <c r="E203" s="461"/>
      <c r="F203" s="1440"/>
      <c r="G203" s="1441"/>
      <c r="H203" s="1442"/>
      <c r="I203" s="405"/>
    </row>
    <row r="204" spans="1:9" ht="15" customHeight="1" x14ac:dyDescent="0.15">
      <c r="A204" s="1272"/>
      <c r="B204" s="1399"/>
      <c r="C204" s="1399"/>
      <c r="D204" s="1400"/>
      <c r="E204" s="461"/>
      <c r="F204" s="1440"/>
      <c r="G204" s="1441"/>
      <c r="H204" s="1442"/>
      <c r="I204" s="405"/>
    </row>
    <row r="205" spans="1:9" ht="15" customHeight="1" x14ac:dyDescent="0.15">
      <c r="A205" s="1272"/>
      <c r="B205" s="1399"/>
      <c r="C205" s="1399"/>
      <c r="D205" s="1400"/>
      <c r="E205" s="461"/>
      <c r="F205" s="1440"/>
      <c r="G205" s="1441"/>
      <c r="H205" s="1442"/>
      <c r="I205" s="405"/>
    </row>
    <row r="206" spans="1:9" ht="15" customHeight="1" x14ac:dyDescent="0.15">
      <c r="A206" s="1272"/>
      <c r="B206" s="1399"/>
      <c r="C206" s="1399"/>
      <c r="D206" s="1400"/>
      <c r="E206" s="461"/>
      <c r="F206" s="1440"/>
      <c r="G206" s="1441"/>
      <c r="H206" s="1442"/>
      <c r="I206" s="405"/>
    </row>
    <row r="207" spans="1:9" ht="15" customHeight="1" x14ac:dyDescent="0.15">
      <c r="A207" s="1272"/>
      <c r="B207" s="1399"/>
      <c r="C207" s="1399"/>
      <c r="D207" s="1400"/>
      <c r="E207" s="461"/>
      <c r="F207" s="1440"/>
      <c r="G207" s="1441"/>
      <c r="H207" s="1442"/>
      <c r="I207" s="405"/>
    </row>
    <row r="208" spans="1:9" ht="15" customHeight="1" x14ac:dyDescent="0.15">
      <c r="A208" s="1272"/>
      <c r="B208" s="1399"/>
      <c r="C208" s="1399"/>
      <c r="D208" s="1400"/>
      <c r="E208" s="461"/>
      <c r="F208" s="1440"/>
      <c r="G208" s="1441"/>
      <c r="H208" s="1442"/>
      <c r="I208" s="405"/>
    </row>
    <row r="209" spans="1:9" ht="15" customHeight="1" x14ac:dyDescent="0.15">
      <c r="A209" s="1272"/>
      <c r="B209" s="1399"/>
      <c r="C209" s="1399"/>
      <c r="D209" s="1400"/>
      <c r="E209" s="461"/>
      <c r="F209" s="1440"/>
      <c r="G209" s="1441"/>
      <c r="H209" s="1442"/>
      <c r="I209" s="405"/>
    </row>
    <row r="210" spans="1:9" ht="15" customHeight="1" x14ac:dyDescent="0.15">
      <c r="A210" s="1272"/>
      <c r="B210" s="1399"/>
      <c r="C210" s="1399"/>
      <c r="D210" s="1400"/>
      <c r="E210" s="461"/>
      <c r="F210" s="1440"/>
      <c r="G210" s="1441"/>
      <c r="H210" s="1442"/>
      <c r="I210" s="405"/>
    </row>
    <row r="211" spans="1:9" ht="15" customHeight="1" x14ac:dyDescent="0.15">
      <c r="A211" s="1272"/>
      <c r="B211" s="1399"/>
      <c r="C211" s="1399"/>
      <c r="D211" s="1400"/>
      <c r="E211" s="461"/>
      <c r="F211" s="1440"/>
      <c r="G211" s="1441"/>
      <c r="H211" s="1442"/>
      <c r="I211" s="405"/>
    </row>
    <row r="212" spans="1:9" ht="15" customHeight="1" x14ac:dyDescent="0.15">
      <c r="A212" s="1272"/>
      <c r="B212" s="1399"/>
      <c r="C212" s="1399"/>
      <c r="D212" s="1400"/>
      <c r="E212" s="461"/>
      <c r="F212" s="1440"/>
      <c r="G212" s="1441"/>
      <c r="H212" s="1442"/>
      <c r="I212" s="405"/>
    </row>
    <row r="213" spans="1:9" ht="15" customHeight="1" x14ac:dyDescent="0.15">
      <c r="A213" s="1272"/>
      <c r="B213" s="1399"/>
      <c r="C213" s="1399"/>
      <c r="D213" s="1400"/>
      <c r="E213" s="461"/>
      <c r="F213" s="1440"/>
      <c r="G213" s="1441"/>
      <c r="H213" s="1442"/>
      <c r="I213" s="405"/>
    </row>
    <row r="214" spans="1:9" ht="15" customHeight="1" x14ac:dyDescent="0.15">
      <c r="A214" s="1272"/>
      <c r="B214" s="1399"/>
      <c r="C214" s="1399"/>
      <c r="D214" s="1400"/>
      <c r="E214" s="461"/>
      <c r="F214" s="1440"/>
      <c r="G214" s="1441"/>
      <c r="H214" s="1442"/>
      <c r="I214" s="405"/>
    </row>
    <row r="215" spans="1:9" ht="15" customHeight="1" x14ac:dyDescent="0.15">
      <c r="A215" s="1272"/>
      <c r="B215" s="1399"/>
      <c r="C215" s="1399"/>
      <c r="D215" s="1400"/>
      <c r="E215" s="461"/>
      <c r="F215" s="1440"/>
      <c r="G215" s="1441"/>
      <c r="H215" s="1442"/>
      <c r="I215" s="405"/>
    </row>
    <row r="216" spans="1:9" ht="15" customHeight="1" x14ac:dyDescent="0.15">
      <c r="A216" s="1272"/>
      <c r="B216" s="1399"/>
      <c r="C216" s="1399"/>
      <c r="D216" s="1400"/>
      <c r="E216" s="461"/>
      <c r="F216" s="1440"/>
      <c r="G216" s="1441"/>
      <c r="H216" s="1442"/>
      <c r="I216" s="405"/>
    </row>
    <row r="217" spans="1:9" ht="15" customHeight="1" x14ac:dyDescent="0.15">
      <c r="A217" s="1272"/>
      <c r="B217" s="1399"/>
      <c r="C217" s="1399"/>
      <c r="D217" s="1400"/>
      <c r="E217" s="461"/>
      <c r="F217" s="1440"/>
      <c r="G217" s="1441"/>
      <c r="H217" s="1442"/>
      <c r="I217" s="405"/>
    </row>
    <row r="218" spans="1:9" ht="15" customHeight="1" x14ac:dyDescent="0.15">
      <c r="A218" s="1272"/>
      <c r="B218" s="1399"/>
      <c r="C218" s="1399"/>
      <c r="D218" s="1400"/>
      <c r="E218" s="461"/>
      <c r="F218" s="1440"/>
      <c r="G218" s="1441"/>
      <c r="H218" s="1442"/>
      <c r="I218" s="405"/>
    </row>
    <row r="219" spans="1:9" ht="15" customHeight="1" x14ac:dyDescent="0.15">
      <c r="A219" s="1272"/>
      <c r="B219" s="1399"/>
      <c r="C219" s="1399"/>
      <c r="D219" s="1400"/>
      <c r="E219" s="461"/>
      <c r="F219" s="1440"/>
      <c r="G219" s="1441"/>
      <c r="H219" s="1442"/>
      <c r="I219" s="405"/>
    </row>
    <row r="220" spans="1:9" ht="15" customHeight="1" x14ac:dyDescent="0.15">
      <c r="A220" s="1272"/>
      <c r="B220" s="1399"/>
      <c r="C220" s="1399"/>
      <c r="D220" s="1400"/>
      <c r="E220" s="461"/>
      <c r="F220" s="1440"/>
      <c r="G220" s="1441"/>
      <c r="H220" s="1442"/>
      <c r="I220" s="405"/>
    </row>
    <row r="221" spans="1:9" ht="15" customHeight="1" x14ac:dyDescent="0.15">
      <c r="A221" s="1272"/>
      <c r="B221" s="1399"/>
      <c r="C221" s="1399"/>
      <c r="D221" s="1400"/>
      <c r="E221" s="461"/>
      <c r="F221" s="1440"/>
      <c r="G221" s="1441"/>
      <c r="H221" s="1442"/>
      <c r="I221" s="405"/>
    </row>
    <row r="222" spans="1:9" ht="15" customHeight="1" x14ac:dyDescent="0.15">
      <c r="A222" s="1272"/>
      <c r="B222" s="1399"/>
      <c r="C222" s="1399"/>
      <c r="D222" s="1400"/>
      <c r="E222" s="461"/>
      <c r="F222" s="1440"/>
      <c r="G222" s="1441"/>
      <c r="H222" s="1442"/>
      <c r="I222" s="405"/>
    </row>
    <row r="223" spans="1:9" ht="15" customHeight="1" x14ac:dyDescent="0.15">
      <c r="A223" s="1272"/>
      <c r="B223" s="1399"/>
      <c r="C223" s="1399"/>
      <c r="D223" s="1400"/>
      <c r="E223" s="461"/>
      <c r="F223" s="1440"/>
      <c r="G223" s="1441"/>
      <c r="H223" s="1442"/>
      <c r="I223" s="405"/>
    </row>
    <row r="224" spans="1:9" ht="15" customHeight="1" x14ac:dyDescent="0.15">
      <c r="A224" s="1272"/>
      <c r="B224" s="1399"/>
      <c r="C224" s="1399"/>
      <c r="D224" s="1400"/>
      <c r="E224" s="461"/>
      <c r="F224" s="1440"/>
      <c r="G224" s="1441"/>
      <c r="H224" s="1442"/>
      <c r="I224" s="405"/>
    </row>
    <row r="225" spans="1:9" ht="15" customHeight="1" x14ac:dyDescent="0.15">
      <c r="A225" s="1272"/>
      <c r="B225" s="1399"/>
      <c r="C225" s="1399"/>
      <c r="D225" s="1400"/>
      <c r="E225" s="461"/>
      <c r="F225" s="1440"/>
      <c r="G225" s="1441"/>
      <c r="H225" s="1442"/>
      <c r="I225" s="405"/>
    </row>
    <row r="226" spans="1:9" ht="15" customHeight="1" x14ac:dyDescent="0.15">
      <c r="A226" s="1272"/>
      <c r="B226" s="1399"/>
      <c r="C226" s="1399"/>
      <c r="D226" s="1400"/>
      <c r="E226" s="461"/>
      <c r="F226" s="1440"/>
      <c r="G226" s="1441"/>
      <c r="H226" s="1442"/>
      <c r="I226" s="405"/>
    </row>
    <row r="227" spans="1:9" ht="15" customHeight="1" x14ac:dyDescent="0.15">
      <c r="A227" s="1272"/>
      <c r="B227" s="1399"/>
      <c r="C227" s="1399"/>
      <c r="D227" s="1400"/>
      <c r="E227" s="461"/>
      <c r="F227" s="1440"/>
      <c r="G227" s="1441"/>
      <c r="H227" s="1442"/>
      <c r="I227" s="405"/>
    </row>
    <row r="228" spans="1:9" ht="15" customHeight="1" x14ac:dyDescent="0.15">
      <c r="A228" s="1272"/>
      <c r="B228" s="1399"/>
      <c r="C228" s="1399"/>
      <c r="D228" s="1400"/>
      <c r="E228" s="461"/>
      <c r="F228" s="1440"/>
      <c r="G228" s="1441"/>
      <c r="H228" s="1442"/>
      <c r="I228" s="405"/>
    </row>
    <row r="229" spans="1:9" ht="15" customHeight="1" x14ac:dyDescent="0.15">
      <c r="A229" s="1272"/>
      <c r="B229" s="1399"/>
      <c r="C229" s="1399"/>
      <c r="D229" s="1400"/>
      <c r="E229" s="461"/>
      <c r="F229" s="1440"/>
      <c r="G229" s="1441"/>
      <c r="H229" s="1442"/>
      <c r="I229" s="405"/>
    </row>
    <row r="230" spans="1:9" ht="15" customHeight="1" x14ac:dyDescent="0.15">
      <c r="A230" s="1272"/>
      <c r="B230" s="1399"/>
      <c r="C230" s="1399"/>
      <c r="D230" s="1400"/>
      <c r="E230" s="461"/>
      <c r="F230" s="1440"/>
      <c r="G230" s="1441"/>
      <c r="H230" s="1442"/>
      <c r="I230" s="405"/>
    </row>
    <row r="231" spans="1:9" ht="15" customHeight="1" x14ac:dyDescent="0.15">
      <c r="A231" s="1272"/>
      <c r="B231" s="1399"/>
      <c r="C231" s="1399"/>
      <c r="D231" s="1400"/>
      <c r="E231" s="461"/>
      <c r="F231" s="1440"/>
      <c r="G231" s="1441"/>
      <c r="H231" s="1442"/>
      <c r="I231" s="405"/>
    </row>
    <row r="232" spans="1:9" ht="15" customHeight="1" x14ac:dyDescent="0.15">
      <c r="A232" s="1272"/>
      <c r="B232" s="1399"/>
      <c r="C232" s="1399"/>
      <c r="D232" s="1400"/>
      <c r="E232" s="461"/>
      <c r="F232" s="1440"/>
      <c r="G232" s="1441"/>
      <c r="H232" s="1442"/>
      <c r="I232" s="405"/>
    </row>
    <row r="233" spans="1:9" ht="15" customHeight="1" x14ac:dyDescent="0.15">
      <c r="A233" s="1272"/>
      <c r="B233" s="1399"/>
      <c r="C233" s="1399"/>
      <c r="D233" s="1400"/>
      <c r="E233" s="461"/>
      <c r="F233" s="1440"/>
      <c r="G233" s="1441"/>
      <c r="H233" s="1442"/>
      <c r="I233" s="405"/>
    </row>
    <row r="234" spans="1:9" ht="15" customHeight="1" x14ac:dyDescent="0.15">
      <c r="A234" s="1272"/>
      <c r="B234" s="1399"/>
      <c r="C234" s="1399"/>
      <c r="D234" s="1400"/>
      <c r="E234" s="461"/>
      <c r="F234" s="1440"/>
      <c r="G234" s="1441"/>
      <c r="H234" s="1442"/>
      <c r="I234" s="405"/>
    </row>
    <row r="235" spans="1:9" ht="15" customHeight="1" x14ac:dyDescent="0.15">
      <c r="A235" s="1272"/>
      <c r="B235" s="1399"/>
      <c r="C235" s="1399"/>
      <c r="D235" s="1400"/>
      <c r="E235" s="461"/>
      <c r="F235" s="1440"/>
      <c r="G235" s="1441"/>
      <c r="H235" s="1442"/>
      <c r="I235" s="405"/>
    </row>
    <row r="236" spans="1:9" ht="15" customHeight="1" x14ac:dyDescent="0.15">
      <c r="A236" s="1272"/>
      <c r="B236" s="1399"/>
      <c r="C236" s="1399"/>
      <c r="D236" s="1400"/>
      <c r="E236" s="461"/>
      <c r="F236" s="1440"/>
      <c r="G236" s="1441"/>
      <c r="H236" s="1442"/>
      <c r="I236" s="405"/>
    </row>
    <row r="237" spans="1:9" ht="15" customHeight="1" x14ac:dyDescent="0.15">
      <c r="A237" s="1272"/>
      <c r="B237" s="1399"/>
      <c r="C237" s="1399"/>
      <c r="D237" s="1400"/>
      <c r="E237" s="461"/>
      <c r="F237" s="1440"/>
      <c r="G237" s="1441"/>
      <c r="H237" s="1442"/>
      <c r="I237" s="405"/>
    </row>
    <row r="238" spans="1:9" ht="15" customHeight="1" x14ac:dyDescent="0.15">
      <c r="A238" s="1272"/>
      <c r="B238" s="1399"/>
      <c r="C238" s="1399"/>
      <c r="D238" s="1400"/>
      <c r="E238" s="461"/>
      <c r="F238" s="1440"/>
      <c r="G238" s="1441"/>
      <c r="H238" s="1442"/>
      <c r="I238" s="405"/>
    </row>
    <row r="239" spans="1:9" ht="15" customHeight="1" x14ac:dyDescent="0.15">
      <c r="A239" s="1272"/>
      <c r="B239" s="1399"/>
      <c r="C239" s="1399"/>
      <c r="D239" s="1400"/>
      <c r="E239" s="461"/>
      <c r="F239" s="1440"/>
      <c r="G239" s="1441"/>
      <c r="H239" s="1442"/>
      <c r="I239" s="405"/>
    </row>
    <row r="240" spans="1:9" ht="15" customHeight="1" x14ac:dyDescent="0.15">
      <c r="A240" s="1272"/>
      <c r="B240" s="1399"/>
      <c r="C240" s="1399"/>
      <c r="D240" s="1400"/>
      <c r="E240" s="461"/>
      <c r="F240" s="1440"/>
      <c r="G240" s="1441"/>
      <c r="H240" s="1442"/>
      <c r="I240" s="405"/>
    </row>
    <row r="241" spans="1:11" ht="15" customHeight="1" x14ac:dyDescent="0.15">
      <c r="A241" s="1272"/>
      <c r="B241" s="1399"/>
      <c r="C241" s="1399"/>
      <c r="D241" s="1400"/>
      <c r="E241" s="461"/>
      <c r="F241" s="1440"/>
      <c r="G241" s="1441"/>
      <c r="H241" s="1442"/>
      <c r="I241" s="405"/>
    </row>
    <row r="242" spans="1:11" ht="15" customHeight="1" x14ac:dyDescent="0.15">
      <c r="A242" s="1272"/>
      <c r="B242" s="1399"/>
      <c r="C242" s="1399"/>
      <c r="D242" s="1400"/>
      <c r="E242" s="461"/>
      <c r="F242" s="1440"/>
      <c r="G242" s="1441"/>
      <c r="H242" s="1442"/>
      <c r="I242" s="405"/>
    </row>
    <row r="243" spans="1:11" ht="15" customHeight="1" x14ac:dyDescent="0.15">
      <c r="A243" s="1272"/>
      <c r="B243" s="1399"/>
      <c r="C243" s="1399"/>
      <c r="D243" s="1400"/>
      <c r="E243" s="461"/>
      <c r="F243" s="1440"/>
      <c r="G243" s="1441"/>
      <c r="H243" s="1442"/>
      <c r="I243" s="405"/>
    </row>
    <row r="244" spans="1:11" ht="15" customHeight="1" x14ac:dyDescent="0.15">
      <c r="A244" s="1272"/>
      <c r="B244" s="1399"/>
      <c r="C244" s="1399"/>
      <c r="D244" s="1400"/>
      <c r="E244" s="461"/>
      <c r="F244" s="1440"/>
      <c r="G244" s="1441"/>
      <c r="H244" s="1442"/>
      <c r="I244" s="405"/>
    </row>
    <row r="245" spans="1:11" ht="15" customHeight="1" x14ac:dyDescent="0.15">
      <c r="A245" s="1272"/>
      <c r="B245" s="1399"/>
      <c r="C245" s="1399"/>
      <c r="D245" s="1400"/>
      <c r="E245" s="461"/>
      <c r="F245" s="1440"/>
      <c r="G245" s="1441"/>
      <c r="H245" s="1442"/>
      <c r="I245" s="405"/>
    </row>
    <row r="246" spans="1:11" ht="15" customHeight="1" x14ac:dyDescent="0.15">
      <c r="A246" s="1272"/>
      <c r="B246" s="1399"/>
      <c r="C246" s="1399"/>
      <c r="D246" s="1400"/>
      <c r="E246" s="461"/>
      <c r="F246" s="1440"/>
      <c r="G246" s="1441"/>
      <c r="H246" s="1442"/>
      <c r="I246" s="405"/>
    </row>
    <row r="247" spans="1:11" ht="15" customHeight="1" x14ac:dyDescent="0.15">
      <c r="A247" s="1272"/>
      <c r="B247" s="1399"/>
      <c r="C247" s="1399"/>
      <c r="D247" s="1400"/>
      <c r="E247" s="461"/>
      <c r="F247" s="1440"/>
      <c r="G247" s="1441"/>
      <c r="H247" s="1442"/>
      <c r="I247" s="405"/>
    </row>
    <row r="248" spans="1:11" ht="15" customHeight="1" x14ac:dyDescent="0.15">
      <c r="A248" s="1272"/>
      <c r="B248" s="1399"/>
      <c r="C248" s="1399"/>
      <c r="D248" s="1400"/>
      <c r="E248" s="461"/>
      <c r="F248" s="1440"/>
      <c r="G248" s="1441"/>
      <c r="H248" s="1442"/>
      <c r="I248" s="405"/>
    </row>
    <row r="249" spans="1:11" ht="15" customHeight="1" x14ac:dyDescent="0.15">
      <c r="A249" s="1272"/>
      <c r="B249" s="1399"/>
      <c r="C249" s="1399"/>
      <c r="D249" s="1400"/>
      <c r="E249" s="461"/>
      <c r="F249" s="1440"/>
      <c r="G249" s="1441"/>
      <c r="H249" s="1442"/>
      <c r="I249" s="405"/>
    </row>
    <row r="250" spans="1:11" ht="15" customHeight="1" x14ac:dyDescent="0.15">
      <c r="A250" s="1272"/>
      <c r="B250" s="1399"/>
      <c r="C250" s="1399"/>
      <c r="D250" s="1400"/>
      <c r="E250" s="461"/>
      <c r="F250" s="1440"/>
      <c r="G250" s="1441"/>
      <c r="H250" s="1442"/>
      <c r="I250" s="405"/>
    </row>
    <row r="251" spans="1:11" ht="15" customHeight="1" x14ac:dyDescent="0.15">
      <c r="A251" s="515"/>
      <c r="B251" s="516"/>
      <c r="C251" s="516"/>
      <c r="D251" s="516"/>
      <c r="E251" s="516"/>
      <c r="F251" s="516"/>
      <c r="G251" s="516"/>
      <c r="H251" s="665"/>
      <c r="I251" s="480">
        <f>SUM(I6:I198)</f>
        <v>0</v>
      </c>
    </row>
    <row r="252" spans="1:11" x14ac:dyDescent="0.15">
      <c r="I252" s="569" t="str">
        <f>IF(OR(COUNTIF(J252:K252,"KO")&gt;0,E72="",F44="",F55="",F58="",F61=""),"KO","OK")</f>
        <v>KO</v>
      </c>
      <c r="J252" s="480" t="str">
        <f>IF(OR(F6=0,F8=0,I11=0,I18=0,I20=0,I22=0,I32=0,I34=0,I122=0,),"KO","OK")</f>
        <v>KO</v>
      </c>
      <c r="K252" s="480" t="str">
        <f>IF(I64=1,(IF(OR(F67&gt;0,F70&gt;0),"OK","KO")),"OK")</f>
        <v>OK</v>
      </c>
    </row>
  </sheetData>
  <sheetProtection password="DD41" sheet="1" selectLockedCells="1"/>
  <mergeCells count="66">
    <mergeCell ref="B198:E198"/>
    <mergeCell ref="B201:D250"/>
    <mergeCell ref="F201:H250"/>
    <mergeCell ref="B190:D190"/>
    <mergeCell ref="C191:E191"/>
    <mergeCell ref="H191:H193"/>
    <mergeCell ref="C192:E192"/>
    <mergeCell ref="C193:E193"/>
    <mergeCell ref="B196:E196"/>
    <mergeCell ref="C189:E189"/>
    <mergeCell ref="B172:E172"/>
    <mergeCell ref="B174:E174"/>
    <mergeCell ref="C176:E176"/>
    <mergeCell ref="C177:E177"/>
    <mergeCell ref="C178:E178"/>
    <mergeCell ref="B180:F180"/>
    <mergeCell ref="C182:E182"/>
    <mergeCell ref="C183:E183"/>
    <mergeCell ref="C184:E184"/>
    <mergeCell ref="B186:E186"/>
    <mergeCell ref="C188:E188"/>
    <mergeCell ref="B169:E169"/>
    <mergeCell ref="B134:E134"/>
    <mergeCell ref="B136:E136"/>
    <mergeCell ref="C137:E137"/>
    <mergeCell ref="B149:E149"/>
    <mergeCell ref="C150:E150"/>
    <mergeCell ref="B161:E161"/>
    <mergeCell ref="C162:E162"/>
    <mergeCell ref="C163:E163"/>
    <mergeCell ref="C164:E164"/>
    <mergeCell ref="C165:E165"/>
    <mergeCell ref="C166:E166"/>
    <mergeCell ref="B131:E131"/>
    <mergeCell ref="C70:E70"/>
    <mergeCell ref="G70:H70"/>
    <mergeCell ref="B107:E107"/>
    <mergeCell ref="G107:H107"/>
    <mergeCell ref="B110:E110"/>
    <mergeCell ref="G110:H110"/>
    <mergeCell ref="B113:E113"/>
    <mergeCell ref="G113:H113"/>
    <mergeCell ref="B122:E122"/>
    <mergeCell ref="B128:E128"/>
    <mergeCell ref="G128:H128"/>
    <mergeCell ref="C67:E67"/>
    <mergeCell ref="G67:H67"/>
    <mergeCell ref="B44:E44"/>
    <mergeCell ref="G44:H44"/>
    <mergeCell ref="B47:E47"/>
    <mergeCell ref="C49:E49"/>
    <mergeCell ref="B52:E52"/>
    <mergeCell ref="B55:E55"/>
    <mergeCell ref="G55:H55"/>
    <mergeCell ref="B58:E58"/>
    <mergeCell ref="G58:H58"/>
    <mergeCell ref="B61:E61"/>
    <mergeCell ref="G61:H61"/>
    <mergeCell ref="B64:E64"/>
    <mergeCell ref="B37:E37"/>
    <mergeCell ref="G37:H37"/>
    <mergeCell ref="B18:E18"/>
    <mergeCell ref="B20:E20"/>
    <mergeCell ref="B22:E22"/>
    <mergeCell ref="G24:H24"/>
    <mergeCell ref="B32:E32"/>
  </mergeCells>
  <dataValidations count="7">
    <dataValidation type="list" allowBlank="1" showInputMessage="1" showErrorMessage="1" sqref="F18">
      <formula1>"_, Sì, No, Non sono stati esternalizzati servizi "</formula1>
    </dataValidation>
    <dataValidation type="list" allowBlank="1" showInputMessage="1" showErrorMessage="1" sqref="F134">
      <mc:AlternateContent xmlns:x12ac="http://schemas.microsoft.com/office/spreadsheetml/2011/1/ac" xmlns:mc="http://schemas.openxmlformats.org/markup-compatibility/2006">
        <mc:Choice Requires="x12ac">
          <x12ac:list>_," Sì, annuale per l'anno di rilevazione"," Sì, pluriennale", No</x12ac:list>
        </mc:Choice>
        <mc:Fallback>
          <formula1>"_, Sì, annuale per l'anno di rilevazione, Sì, pluriennale, No"</formula1>
        </mc:Fallback>
      </mc:AlternateContent>
    </dataValidation>
    <dataValidation type="list" allowBlank="1" showInputMessage="1" showErrorMessage="1" sqref="F131">
      <mc:AlternateContent xmlns:x12ac="http://schemas.microsoft.com/office/spreadsheetml/2011/1/ac" xmlns:mc="http://schemas.openxmlformats.org/markup-compatibility/2006">
        <mc:Choice Requires="x12ac">
          <x12ac:list>_," Sì, esiste un apposito Ufficio/Servizio"," No, ma la funzione è esercitata da un altro ufficio", No</x12ac:list>
        </mc:Choice>
        <mc:Fallback>
          <formula1>"_, Sì, esiste un apposito Ufficio/Servizio, No, ma la funzione è esercitata da un altro ufficio, No"</formula1>
        </mc:Fallback>
      </mc:AlternateContent>
    </dataValidation>
    <dataValidation type="list" allowBlank="1" showInputMessage="1" showErrorMessage="1" sqref="F122">
      <formula1>"_, SI, No, Non Tenuto"</formula1>
    </dataValidation>
    <dataValidation type="whole" allowBlank="1" showInputMessage="1" showErrorMessage="1" errorTitle="ATTENZIONE" error="INSERIRE SOLO VALORI NUMERICI INTERI" sqref="F58 F64:F65 F44 F42 F40 F55 F67:F68 F61:F62 F70 F107 F110 F113:F119 F47:F50 F52:F53 F138:F147 F151:F159 F128 F176:F178 F182:F184 F188:F189 F191:F193 F169 F196 F198">
      <formula1>0</formula1>
      <formula2>999999999999</formula2>
    </dataValidation>
    <dataValidation type="whole" allowBlank="1" showInputMessage="1" showErrorMessage="1" errorTitle="ERRORE NEL DATO IMMESSO" error="INSERIRE SOLO NUMERI INTERI" sqref="E105 E201:E250">
      <formula1>1</formula1>
      <formula2>99999</formula2>
    </dataValidation>
    <dataValidation type="decimal" allowBlank="1" showInputMessage="1" showErrorMessage="1" errorTitle="ATTENZIONE" error="INSERIRE SOLO VALORI NUMERICI CON DUE DECIMALI" sqref="F37 F6 F8">
      <formula1>0.01</formula1>
      <formula2>100</formula2>
    </dataValidation>
  </dataValidations>
  <printOptions horizontalCentered="1"/>
  <pageMargins left="0.23622047244094491" right="0.23622047244094491" top="0.59055118110236227" bottom="0.98425196850393704" header="0.51181102362204722" footer="0.51181102362204722"/>
  <pageSetup paperSize="9" scale="3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97249" r:id="rId4" name="Group Box 1">
              <controlPr defaultSize="0" autoFill="0" autoPict="0">
                <anchor moveWithCells="1">
                  <from>
                    <xdr:col>5</xdr:col>
                    <xdr:colOff>0</xdr:colOff>
                    <xdr:row>10</xdr:row>
                    <xdr:rowOff>0</xdr:rowOff>
                  </from>
                  <to>
                    <xdr:col>7</xdr:col>
                    <xdr:colOff>0</xdr:colOff>
                    <xdr:row>11</xdr:row>
                    <xdr:rowOff>0</xdr:rowOff>
                  </to>
                </anchor>
              </controlPr>
            </control>
          </mc:Choice>
        </mc:AlternateContent>
        <mc:AlternateContent xmlns:mc="http://schemas.openxmlformats.org/markup-compatibility/2006">
          <mc:Choice Requires="x14">
            <control shapeId="2997250" r:id="rId5" name="Option Button 2">
              <controlPr locked="0" defaultSize="0" autoFill="0" autoLine="0" autoPict="0">
                <anchor moveWithCells="1">
                  <from>
                    <xdr:col>5</xdr:col>
                    <xdr:colOff>495300</xdr:colOff>
                    <xdr:row>10</xdr:row>
                    <xdr:rowOff>9525</xdr:rowOff>
                  </from>
                  <to>
                    <xdr:col>5</xdr:col>
                    <xdr:colOff>790575</xdr:colOff>
                    <xdr:row>10</xdr:row>
                    <xdr:rowOff>238125</xdr:rowOff>
                  </to>
                </anchor>
              </controlPr>
            </control>
          </mc:Choice>
        </mc:AlternateContent>
        <mc:AlternateContent xmlns:mc="http://schemas.openxmlformats.org/markup-compatibility/2006">
          <mc:Choice Requires="x14">
            <control shapeId="2997251" r:id="rId6" name="Option Button 3">
              <controlPr defaultSize="0" autoFill="0" autoLine="0" autoPict="0">
                <anchor moveWithCells="1">
                  <from>
                    <xdr:col>6</xdr:col>
                    <xdr:colOff>457200</xdr:colOff>
                    <xdr:row>10</xdr:row>
                    <xdr:rowOff>0</xdr:rowOff>
                  </from>
                  <to>
                    <xdr:col>6</xdr:col>
                    <xdr:colOff>733425</xdr:colOff>
                    <xdr:row>10</xdr:row>
                    <xdr:rowOff>219075</xdr:rowOff>
                  </to>
                </anchor>
              </controlPr>
            </control>
          </mc:Choice>
        </mc:AlternateContent>
        <mc:AlternateContent xmlns:mc="http://schemas.openxmlformats.org/markup-compatibility/2006">
          <mc:Choice Requires="x14">
            <control shapeId="2997252" r:id="rId7" name="Group Box 4">
              <controlPr defaultSize="0" autoFill="0" autoPict="0">
                <anchor moveWithCells="1">
                  <from>
                    <xdr:col>5</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2997253" r:id="rId8" name="Group Box 5">
              <controlPr defaultSize="0" autoFill="0" autoPict="0">
                <anchor moveWithCells="1">
                  <from>
                    <xdr:col>5</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2997254" r:id="rId9" name="Option Button 6">
              <controlPr defaultSize="0" autoFill="0" autoLine="0" autoPict="0">
                <anchor moveWithCells="1">
                  <from>
                    <xdr:col>5</xdr:col>
                    <xdr:colOff>504825</xdr:colOff>
                    <xdr:row>19</xdr:row>
                    <xdr:rowOff>180975</xdr:rowOff>
                  </from>
                  <to>
                    <xdr:col>5</xdr:col>
                    <xdr:colOff>790575</xdr:colOff>
                    <xdr:row>19</xdr:row>
                    <xdr:rowOff>409575</xdr:rowOff>
                  </to>
                </anchor>
              </controlPr>
            </control>
          </mc:Choice>
        </mc:AlternateContent>
        <mc:AlternateContent xmlns:mc="http://schemas.openxmlformats.org/markup-compatibility/2006">
          <mc:Choice Requires="x14">
            <control shapeId="2997255" r:id="rId10" name="Option Button 7">
              <controlPr defaultSize="0" autoFill="0" autoLine="0" autoPict="0">
                <anchor moveWithCells="1">
                  <from>
                    <xdr:col>6</xdr:col>
                    <xdr:colOff>495300</xdr:colOff>
                    <xdr:row>19</xdr:row>
                    <xdr:rowOff>180975</xdr:rowOff>
                  </from>
                  <to>
                    <xdr:col>6</xdr:col>
                    <xdr:colOff>790575</xdr:colOff>
                    <xdr:row>19</xdr:row>
                    <xdr:rowOff>409575</xdr:rowOff>
                  </to>
                </anchor>
              </controlPr>
            </control>
          </mc:Choice>
        </mc:AlternateContent>
        <mc:AlternateContent xmlns:mc="http://schemas.openxmlformats.org/markup-compatibility/2006">
          <mc:Choice Requires="x14">
            <control shapeId="2997256" r:id="rId11" name="Option Button 8">
              <controlPr defaultSize="0" autoFill="0" autoLine="0" autoPict="0">
                <anchor moveWithCells="1">
                  <from>
                    <xdr:col>5</xdr:col>
                    <xdr:colOff>504825</xdr:colOff>
                    <xdr:row>21</xdr:row>
                    <xdr:rowOff>85725</xdr:rowOff>
                  </from>
                  <to>
                    <xdr:col>5</xdr:col>
                    <xdr:colOff>790575</xdr:colOff>
                    <xdr:row>21</xdr:row>
                    <xdr:rowOff>304800</xdr:rowOff>
                  </to>
                </anchor>
              </controlPr>
            </control>
          </mc:Choice>
        </mc:AlternateContent>
        <mc:AlternateContent xmlns:mc="http://schemas.openxmlformats.org/markup-compatibility/2006">
          <mc:Choice Requires="x14">
            <control shapeId="2997257" r:id="rId12" name="Option Button 9">
              <controlPr defaultSize="0" autoFill="0" autoLine="0" autoPict="0">
                <anchor moveWithCells="1">
                  <from>
                    <xdr:col>6</xdr:col>
                    <xdr:colOff>485775</xdr:colOff>
                    <xdr:row>21</xdr:row>
                    <xdr:rowOff>76200</xdr:rowOff>
                  </from>
                  <to>
                    <xdr:col>6</xdr:col>
                    <xdr:colOff>771525</xdr:colOff>
                    <xdr:row>21</xdr:row>
                    <xdr:rowOff>295275</xdr:rowOff>
                  </to>
                </anchor>
              </controlPr>
            </control>
          </mc:Choice>
        </mc:AlternateContent>
        <mc:AlternateContent xmlns:mc="http://schemas.openxmlformats.org/markup-compatibility/2006">
          <mc:Choice Requires="x14">
            <control shapeId="2997258" r:id="rId13" name="Group Box 10">
              <controlPr defaultSize="0" autoFill="0" autoPict="0">
                <anchor moveWithCells="1">
                  <from>
                    <xdr:col>5</xdr:col>
                    <xdr:colOff>0</xdr:colOff>
                    <xdr:row>33</xdr:row>
                    <xdr:rowOff>0</xdr:rowOff>
                  </from>
                  <to>
                    <xdr:col>7</xdr:col>
                    <xdr:colOff>0</xdr:colOff>
                    <xdr:row>34</xdr:row>
                    <xdr:rowOff>0</xdr:rowOff>
                  </to>
                </anchor>
              </controlPr>
            </control>
          </mc:Choice>
        </mc:AlternateContent>
        <mc:AlternateContent xmlns:mc="http://schemas.openxmlformats.org/markup-compatibility/2006">
          <mc:Choice Requires="x14">
            <control shapeId="2997259" r:id="rId14" name="Option Button 11">
              <controlPr defaultSize="0" autoFill="0" autoLine="0" autoPict="0">
                <anchor moveWithCells="1">
                  <from>
                    <xdr:col>5</xdr:col>
                    <xdr:colOff>533400</xdr:colOff>
                    <xdr:row>31</xdr:row>
                    <xdr:rowOff>66675</xdr:rowOff>
                  </from>
                  <to>
                    <xdr:col>5</xdr:col>
                    <xdr:colOff>809625</xdr:colOff>
                    <xdr:row>31</xdr:row>
                    <xdr:rowOff>295275</xdr:rowOff>
                  </to>
                </anchor>
              </controlPr>
            </control>
          </mc:Choice>
        </mc:AlternateContent>
        <mc:AlternateContent xmlns:mc="http://schemas.openxmlformats.org/markup-compatibility/2006">
          <mc:Choice Requires="x14">
            <control shapeId="2997260" r:id="rId15" name="Option Button 12">
              <controlPr defaultSize="0" autoFill="0" autoLine="0" autoPict="0">
                <anchor moveWithCells="1">
                  <from>
                    <xdr:col>6</xdr:col>
                    <xdr:colOff>495300</xdr:colOff>
                    <xdr:row>31</xdr:row>
                    <xdr:rowOff>76200</xdr:rowOff>
                  </from>
                  <to>
                    <xdr:col>6</xdr:col>
                    <xdr:colOff>790575</xdr:colOff>
                    <xdr:row>31</xdr:row>
                    <xdr:rowOff>295275</xdr:rowOff>
                  </to>
                </anchor>
              </controlPr>
            </control>
          </mc:Choice>
        </mc:AlternateContent>
        <mc:AlternateContent xmlns:mc="http://schemas.openxmlformats.org/markup-compatibility/2006">
          <mc:Choice Requires="x14">
            <control shapeId="2997261" r:id="rId16" name="Option Button 13">
              <controlPr defaultSize="0" autoFill="0" autoLine="0" autoPict="0">
                <anchor moveWithCells="1">
                  <from>
                    <xdr:col>5</xdr:col>
                    <xdr:colOff>533400</xdr:colOff>
                    <xdr:row>33</xdr:row>
                    <xdr:rowOff>9525</xdr:rowOff>
                  </from>
                  <to>
                    <xdr:col>5</xdr:col>
                    <xdr:colOff>809625</xdr:colOff>
                    <xdr:row>33</xdr:row>
                    <xdr:rowOff>238125</xdr:rowOff>
                  </to>
                </anchor>
              </controlPr>
            </control>
          </mc:Choice>
        </mc:AlternateContent>
        <mc:AlternateContent xmlns:mc="http://schemas.openxmlformats.org/markup-compatibility/2006">
          <mc:Choice Requires="x14">
            <control shapeId="2997262" r:id="rId17" name="Option Button 14">
              <controlPr defaultSize="0" autoFill="0" autoLine="0" autoPict="0">
                <anchor moveWithCells="1">
                  <from>
                    <xdr:col>6</xdr:col>
                    <xdr:colOff>495300</xdr:colOff>
                    <xdr:row>33</xdr:row>
                    <xdr:rowOff>9525</xdr:rowOff>
                  </from>
                  <to>
                    <xdr:col>6</xdr:col>
                    <xdr:colOff>790575</xdr:colOff>
                    <xdr:row>33</xdr:row>
                    <xdr:rowOff>238125</xdr:rowOff>
                  </to>
                </anchor>
              </controlPr>
            </control>
          </mc:Choice>
        </mc:AlternateContent>
        <mc:AlternateContent xmlns:mc="http://schemas.openxmlformats.org/markup-compatibility/2006">
          <mc:Choice Requires="x14">
            <control shapeId="2997263" r:id="rId18" name="Group Box 15">
              <controlPr defaultSize="0" autoFill="0" autoPict="0">
                <anchor moveWithCells="1">
                  <from>
                    <xdr:col>5</xdr:col>
                    <xdr:colOff>0</xdr:colOff>
                    <xdr:row>46</xdr:row>
                    <xdr:rowOff>0</xdr:rowOff>
                  </from>
                  <to>
                    <xdr:col>7</xdr:col>
                    <xdr:colOff>0</xdr:colOff>
                    <xdr:row>47</xdr:row>
                    <xdr:rowOff>0</xdr:rowOff>
                  </to>
                </anchor>
              </controlPr>
            </control>
          </mc:Choice>
        </mc:AlternateContent>
        <mc:AlternateContent xmlns:mc="http://schemas.openxmlformats.org/markup-compatibility/2006">
          <mc:Choice Requires="x14">
            <control shapeId="2997264" r:id="rId19" name="Option Button 16">
              <controlPr defaultSize="0" autoFill="0" autoLine="0" autoPict="0">
                <anchor moveWithCells="1">
                  <from>
                    <xdr:col>5</xdr:col>
                    <xdr:colOff>533400</xdr:colOff>
                    <xdr:row>46</xdr:row>
                    <xdr:rowOff>9525</xdr:rowOff>
                  </from>
                  <to>
                    <xdr:col>5</xdr:col>
                    <xdr:colOff>809625</xdr:colOff>
                    <xdr:row>46</xdr:row>
                    <xdr:rowOff>238125</xdr:rowOff>
                  </to>
                </anchor>
              </controlPr>
            </control>
          </mc:Choice>
        </mc:AlternateContent>
        <mc:AlternateContent xmlns:mc="http://schemas.openxmlformats.org/markup-compatibility/2006">
          <mc:Choice Requires="x14">
            <control shapeId="2997265" r:id="rId20" name="Option Button 17">
              <controlPr defaultSize="0" autoFill="0" autoLine="0" autoPict="0">
                <anchor moveWithCells="1">
                  <from>
                    <xdr:col>6</xdr:col>
                    <xdr:colOff>457200</xdr:colOff>
                    <xdr:row>46</xdr:row>
                    <xdr:rowOff>9525</xdr:rowOff>
                  </from>
                  <to>
                    <xdr:col>6</xdr:col>
                    <xdr:colOff>733425</xdr:colOff>
                    <xdr:row>46</xdr:row>
                    <xdr:rowOff>238125</xdr:rowOff>
                  </to>
                </anchor>
              </controlPr>
            </control>
          </mc:Choice>
        </mc:AlternateContent>
        <mc:AlternateContent xmlns:mc="http://schemas.openxmlformats.org/markup-compatibility/2006">
          <mc:Choice Requires="x14">
            <control shapeId="2997266" r:id="rId21" name="Group Box 18">
              <controlPr defaultSize="0" autoFill="0" autoPict="0">
                <anchor moveWithCells="1">
                  <from>
                    <xdr:col>5</xdr:col>
                    <xdr:colOff>0</xdr:colOff>
                    <xdr:row>48</xdr:row>
                    <xdr:rowOff>0</xdr:rowOff>
                  </from>
                  <to>
                    <xdr:col>6</xdr:col>
                    <xdr:colOff>1133475</xdr:colOff>
                    <xdr:row>49</xdr:row>
                    <xdr:rowOff>0</xdr:rowOff>
                  </to>
                </anchor>
              </controlPr>
            </control>
          </mc:Choice>
        </mc:AlternateContent>
        <mc:AlternateContent xmlns:mc="http://schemas.openxmlformats.org/markup-compatibility/2006">
          <mc:Choice Requires="x14">
            <control shapeId="2997267" r:id="rId22" name="Option Button 19">
              <controlPr defaultSize="0" autoFill="0" autoLine="0" autoPict="0">
                <anchor moveWithCells="1">
                  <from>
                    <xdr:col>5</xdr:col>
                    <xdr:colOff>542925</xdr:colOff>
                    <xdr:row>48</xdr:row>
                    <xdr:rowOff>142875</xdr:rowOff>
                  </from>
                  <to>
                    <xdr:col>5</xdr:col>
                    <xdr:colOff>828675</xdr:colOff>
                    <xdr:row>48</xdr:row>
                    <xdr:rowOff>371475</xdr:rowOff>
                  </to>
                </anchor>
              </controlPr>
            </control>
          </mc:Choice>
        </mc:AlternateContent>
        <mc:AlternateContent xmlns:mc="http://schemas.openxmlformats.org/markup-compatibility/2006">
          <mc:Choice Requires="x14">
            <control shapeId="2997268" r:id="rId23" name="Option Button 20">
              <controlPr defaultSize="0" autoFill="0" autoLine="0" autoPict="0">
                <anchor moveWithCells="1">
                  <from>
                    <xdr:col>6</xdr:col>
                    <xdr:colOff>457200</xdr:colOff>
                    <xdr:row>48</xdr:row>
                    <xdr:rowOff>142875</xdr:rowOff>
                  </from>
                  <to>
                    <xdr:col>6</xdr:col>
                    <xdr:colOff>733425</xdr:colOff>
                    <xdr:row>48</xdr:row>
                    <xdr:rowOff>409575</xdr:rowOff>
                  </to>
                </anchor>
              </controlPr>
            </control>
          </mc:Choice>
        </mc:AlternateContent>
        <mc:AlternateContent xmlns:mc="http://schemas.openxmlformats.org/markup-compatibility/2006">
          <mc:Choice Requires="x14">
            <control shapeId="2997269" r:id="rId24" name="Group Box 21">
              <controlPr defaultSize="0" autoFill="0" autoPict="0">
                <anchor moveWithCells="1">
                  <from>
                    <xdr:col>5</xdr:col>
                    <xdr:colOff>0</xdr:colOff>
                    <xdr:row>51</xdr:row>
                    <xdr:rowOff>0</xdr:rowOff>
                  </from>
                  <to>
                    <xdr:col>7</xdr:col>
                    <xdr:colOff>9525</xdr:colOff>
                    <xdr:row>61</xdr:row>
                    <xdr:rowOff>0</xdr:rowOff>
                  </to>
                </anchor>
              </controlPr>
            </control>
          </mc:Choice>
        </mc:AlternateContent>
        <mc:AlternateContent xmlns:mc="http://schemas.openxmlformats.org/markup-compatibility/2006">
          <mc:Choice Requires="x14">
            <control shapeId="2997270" r:id="rId25" name="Option Button 22">
              <controlPr defaultSize="0" autoFill="0" autoLine="0" autoPict="0">
                <anchor moveWithCells="1">
                  <from>
                    <xdr:col>5</xdr:col>
                    <xdr:colOff>533400</xdr:colOff>
                    <xdr:row>51</xdr:row>
                    <xdr:rowOff>28575</xdr:rowOff>
                  </from>
                  <to>
                    <xdr:col>5</xdr:col>
                    <xdr:colOff>809625</xdr:colOff>
                    <xdr:row>51</xdr:row>
                    <xdr:rowOff>257175</xdr:rowOff>
                  </to>
                </anchor>
              </controlPr>
            </control>
          </mc:Choice>
        </mc:AlternateContent>
        <mc:AlternateContent xmlns:mc="http://schemas.openxmlformats.org/markup-compatibility/2006">
          <mc:Choice Requires="x14">
            <control shapeId="2997271" r:id="rId26" name="Option Button 23">
              <controlPr defaultSize="0" autoFill="0" autoLine="0" autoPict="0">
                <anchor moveWithCells="1">
                  <from>
                    <xdr:col>6</xdr:col>
                    <xdr:colOff>457200</xdr:colOff>
                    <xdr:row>51</xdr:row>
                    <xdr:rowOff>28575</xdr:rowOff>
                  </from>
                  <to>
                    <xdr:col>6</xdr:col>
                    <xdr:colOff>733425</xdr:colOff>
                    <xdr:row>51</xdr:row>
                    <xdr:rowOff>295275</xdr:rowOff>
                  </to>
                </anchor>
              </controlPr>
            </control>
          </mc:Choice>
        </mc:AlternateContent>
        <mc:AlternateContent xmlns:mc="http://schemas.openxmlformats.org/markup-compatibility/2006">
          <mc:Choice Requires="x14">
            <control shapeId="2997272" r:id="rId27" name="Group Box 24">
              <controlPr defaultSize="0" autoFill="0" autoPict="0">
                <anchor moveWithCells="1">
                  <from>
                    <xdr:col>5</xdr:col>
                    <xdr:colOff>0</xdr:colOff>
                    <xdr:row>161</xdr:row>
                    <xdr:rowOff>9525</xdr:rowOff>
                  </from>
                  <to>
                    <xdr:col>7</xdr:col>
                    <xdr:colOff>0</xdr:colOff>
                    <xdr:row>162</xdr:row>
                    <xdr:rowOff>9525</xdr:rowOff>
                  </to>
                </anchor>
              </controlPr>
            </control>
          </mc:Choice>
        </mc:AlternateContent>
        <mc:AlternateContent xmlns:mc="http://schemas.openxmlformats.org/markup-compatibility/2006">
          <mc:Choice Requires="x14">
            <control shapeId="2997273" r:id="rId28" name="Option Button 25">
              <controlPr defaultSize="0" autoFill="0" autoLine="0" autoPict="0">
                <anchor moveWithCells="1">
                  <from>
                    <xdr:col>5</xdr:col>
                    <xdr:colOff>504825</xdr:colOff>
                    <xdr:row>161</xdr:row>
                    <xdr:rowOff>9525</xdr:rowOff>
                  </from>
                  <to>
                    <xdr:col>5</xdr:col>
                    <xdr:colOff>733425</xdr:colOff>
                    <xdr:row>161</xdr:row>
                    <xdr:rowOff>200025</xdr:rowOff>
                  </to>
                </anchor>
              </controlPr>
            </control>
          </mc:Choice>
        </mc:AlternateContent>
        <mc:AlternateContent xmlns:mc="http://schemas.openxmlformats.org/markup-compatibility/2006">
          <mc:Choice Requires="x14">
            <control shapeId="2997274" r:id="rId29" name="Option Button 26">
              <controlPr defaultSize="0" autoFill="0" autoLine="0" autoPict="0">
                <anchor moveWithCells="1">
                  <from>
                    <xdr:col>6</xdr:col>
                    <xdr:colOff>457200</xdr:colOff>
                    <xdr:row>161</xdr:row>
                    <xdr:rowOff>9525</xdr:rowOff>
                  </from>
                  <to>
                    <xdr:col>6</xdr:col>
                    <xdr:colOff>714375</xdr:colOff>
                    <xdr:row>162</xdr:row>
                    <xdr:rowOff>0</xdr:rowOff>
                  </to>
                </anchor>
              </controlPr>
            </control>
          </mc:Choice>
        </mc:AlternateContent>
        <mc:AlternateContent xmlns:mc="http://schemas.openxmlformats.org/markup-compatibility/2006">
          <mc:Choice Requires="x14">
            <control shapeId="2997275" r:id="rId30" name="Group Box 27">
              <controlPr defaultSize="0" autoFill="0" autoPict="0">
                <anchor moveWithCells="1">
                  <from>
                    <xdr:col>5</xdr:col>
                    <xdr:colOff>0</xdr:colOff>
                    <xdr:row>162</xdr:row>
                    <xdr:rowOff>0</xdr:rowOff>
                  </from>
                  <to>
                    <xdr:col>7</xdr:col>
                    <xdr:colOff>0</xdr:colOff>
                    <xdr:row>163</xdr:row>
                    <xdr:rowOff>9525</xdr:rowOff>
                  </to>
                </anchor>
              </controlPr>
            </control>
          </mc:Choice>
        </mc:AlternateContent>
        <mc:AlternateContent xmlns:mc="http://schemas.openxmlformats.org/markup-compatibility/2006">
          <mc:Choice Requires="x14">
            <control shapeId="2997276" r:id="rId31" name="Option Button 28">
              <controlPr defaultSize="0" autoFill="0" autoLine="0" autoPict="0">
                <anchor moveWithCells="1">
                  <from>
                    <xdr:col>5</xdr:col>
                    <xdr:colOff>504825</xdr:colOff>
                    <xdr:row>162</xdr:row>
                    <xdr:rowOff>9525</xdr:rowOff>
                  </from>
                  <to>
                    <xdr:col>5</xdr:col>
                    <xdr:colOff>733425</xdr:colOff>
                    <xdr:row>162</xdr:row>
                    <xdr:rowOff>200025</xdr:rowOff>
                  </to>
                </anchor>
              </controlPr>
            </control>
          </mc:Choice>
        </mc:AlternateContent>
        <mc:AlternateContent xmlns:mc="http://schemas.openxmlformats.org/markup-compatibility/2006">
          <mc:Choice Requires="x14">
            <control shapeId="2997277" r:id="rId32" name="Option Button 29">
              <controlPr defaultSize="0" autoFill="0" autoLine="0" autoPict="0">
                <anchor moveWithCells="1">
                  <from>
                    <xdr:col>6</xdr:col>
                    <xdr:colOff>457200</xdr:colOff>
                    <xdr:row>162</xdr:row>
                    <xdr:rowOff>9525</xdr:rowOff>
                  </from>
                  <to>
                    <xdr:col>6</xdr:col>
                    <xdr:colOff>714375</xdr:colOff>
                    <xdr:row>163</xdr:row>
                    <xdr:rowOff>0</xdr:rowOff>
                  </to>
                </anchor>
              </controlPr>
            </control>
          </mc:Choice>
        </mc:AlternateContent>
        <mc:AlternateContent xmlns:mc="http://schemas.openxmlformats.org/markup-compatibility/2006">
          <mc:Choice Requires="x14">
            <control shapeId="2997278" r:id="rId33" name="Group Box 30">
              <controlPr defaultSize="0" autoFill="0" autoPict="0">
                <anchor moveWithCells="1">
                  <from>
                    <xdr:col>5</xdr:col>
                    <xdr:colOff>0</xdr:colOff>
                    <xdr:row>163</xdr:row>
                    <xdr:rowOff>0</xdr:rowOff>
                  </from>
                  <to>
                    <xdr:col>7</xdr:col>
                    <xdr:colOff>0</xdr:colOff>
                    <xdr:row>164</xdr:row>
                    <xdr:rowOff>9525</xdr:rowOff>
                  </to>
                </anchor>
              </controlPr>
            </control>
          </mc:Choice>
        </mc:AlternateContent>
        <mc:AlternateContent xmlns:mc="http://schemas.openxmlformats.org/markup-compatibility/2006">
          <mc:Choice Requires="x14">
            <control shapeId="2997279" r:id="rId34" name="Option Button 31">
              <controlPr defaultSize="0" autoFill="0" autoLine="0" autoPict="0">
                <anchor moveWithCells="1">
                  <from>
                    <xdr:col>5</xdr:col>
                    <xdr:colOff>504825</xdr:colOff>
                    <xdr:row>163</xdr:row>
                    <xdr:rowOff>9525</xdr:rowOff>
                  </from>
                  <to>
                    <xdr:col>5</xdr:col>
                    <xdr:colOff>733425</xdr:colOff>
                    <xdr:row>163</xdr:row>
                    <xdr:rowOff>200025</xdr:rowOff>
                  </to>
                </anchor>
              </controlPr>
            </control>
          </mc:Choice>
        </mc:AlternateContent>
        <mc:AlternateContent xmlns:mc="http://schemas.openxmlformats.org/markup-compatibility/2006">
          <mc:Choice Requires="x14">
            <control shapeId="2997280" r:id="rId35" name="Option Button 32">
              <controlPr defaultSize="0" autoFill="0" autoLine="0" autoPict="0">
                <anchor moveWithCells="1">
                  <from>
                    <xdr:col>6</xdr:col>
                    <xdr:colOff>457200</xdr:colOff>
                    <xdr:row>163</xdr:row>
                    <xdr:rowOff>9525</xdr:rowOff>
                  </from>
                  <to>
                    <xdr:col>6</xdr:col>
                    <xdr:colOff>714375</xdr:colOff>
                    <xdr:row>164</xdr:row>
                    <xdr:rowOff>0</xdr:rowOff>
                  </to>
                </anchor>
              </controlPr>
            </control>
          </mc:Choice>
        </mc:AlternateContent>
        <mc:AlternateContent xmlns:mc="http://schemas.openxmlformats.org/markup-compatibility/2006">
          <mc:Choice Requires="x14">
            <control shapeId="2997281" r:id="rId36" name="Group Box 33">
              <controlPr defaultSize="0" autoFill="0" autoPict="0">
                <anchor moveWithCells="1">
                  <from>
                    <xdr:col>5</xdr:col>
                    <xdr:colOff>0</xdr:colOff>
                    <xdr:row>164</xdr:row>
                    <xdr:rowOff>0</xdr:rowOff>
                  </from>
                  <to>
                    <xdr:col>7</xdr:col>
                    <xdr:colOff>0</xdr:colOff>
                    <xdr:row>165</xdr:row>
                    <xdr:rowOff>9525</xdr:rowOff>
                  </to>
                </anchor>
              </controlPr>
            </control>
          </mc:Choice>
        </mc:AlternateContent>
        <mc:AlternateContent xmlns:mc="http://schemas.openxmlformats.org/markup-compatibility/2006">
          <mc:Choice Requires="x14">
            <control shapeId="2997282" r:id="rId37" name="Option Button 34">
              <controlPr defaultSize="0" autoFill="0" autoLine="0" autoPict="0">
                <anchor moveWithCells="1">
                  <from>
                    <xdr:col>5</xdr:col>
                    <xdr:colOff>504825</xdr:colOff>
                    <xdr:row>164</xdr:row>
                    <xdr:rowOff>9525</xdr:rowOff>
                  </from>
                  <to>
                    <xdr:col>5</xdr:col>
                    <xdr:colOff>733425</xdr:colOff>
                    <xdr:row>164</xdr:row>
                    <xdr:rowOff>200025</xdr:rowOff>
                  </to>
                </anchor>
              </controlPr>
            </control>
          </mc:Choice>
        </mc:AlternateContent>
        <mc:AlternateContent xmlns:mc="http://schemas.openxmlformats.org/markup-compatibility/2006">
          <mc:Choice Requires="x14">
            <control shapeId="2997283" r:id="rId38" name="Option Button 35">
              <controlPr defaultSize="0" autoFill="0" autoLine="0" autoPict="0">
                <anchor moveWithCells="1">
                  <from>
                    <xdr:col>6</xdr:col>
                    <xdr:colOff>457200</xdr:colOff>
                    <xdr:row>164</xdr:row>
                    <xdr:rowOff>9525</xdr:rowOff>
                  </from>
                  <to>
                    <xdr:col>6</xdr:col>
                    <xdr:colOff>714375</xdr:colOff>
                    <xdr:row>165</xdr:row>
                    <xdr:rowOff>0</xdr:rowOff>
                  </to>
                </anchor>
              </controlPr>
            </control>
          </mc:Choice>
        </mc:AlternateContent>
        <mc:AlternateContent xmlns:mc="http://schemas.openxmlformats.org/markup-compatibility/2006">
          <mc:Choice Requires="x14">
            <control shapeId="2997284" r:id="rId39" name="Group Box 36">
              <controlPr defaultSize="0" autoFill="0" autoPict="0">
                <anchor moveWithCells="1">
                  <from>
                    <xdr:col>5</xdr:col>
                    <xdr:colOff>0</xdr:colOff>
                    <xdr:row>165</xdr:row>
                    <xdr:rowOff>0</xdr:rowOff>
                  </from>
                  <to>
                    <xdr:col>7</xdr:col>
                    <xdr:colOff>0</xdr:colOff>
                    <xdr:row>166</xdr:row>
                    <xdr:rowOff>0</xdr:rowOff>
                  </to>
                </anchor>
              </controlPr>
            </control>
          </mc:Choice>
        </mc:AlternateContent>
        <mc:AlternateContent xmlns:mc="http://schemas.openxmlformats.org/markup-compatibility/2006">
          <mc:Choice Requires="x14">
            <control shapeId="2997285" r:id="rId40" name="Option Button 37">
              <controlPr defaultSize="0" autoFill="0" autoLine="0" autoPict="0">
                <anchor moveWithCells="1">
                  <from>
                    <xdr:col>5</xdr:col>
                    <xdr:colOff>504825</xdr:colOff>
                    <xdr:row>165</xdr:row>
                    <xdr:rowOff>9525</xdr:rowOff>
                  </from>
                  <to>
                    <xdr:col>5</xdr:col>
                    <xdr:colOff>733425</xdr:colOff>
                    <xdr:row>165</xdr:row>
                    <xdr:rowOff>200025</xdr:rowOff>
                  </to>
                </anchor>
              </controlPr>
            </control>
          </mc:Choice>
        </mc:AlternateContent>
        <mc:AlternateContent xmlns:mc="http://schemas.openxmlformats.org/markup-compatibility/2006">
          <mc:Choice Requires="x14">
            <control shapeId="2997286" r:id="rId41" name="Option Button 38">
              <controlPr defaultSize="0" autoFill="0" autoLine="0" autoPict="0">
                <anchor moveWithCells="1">
                  <from>
                    <xdr:col>6</xdr:col>
                    <xdr:colOff>457200</xdr:colOff>
                    <xdr:row>165</xdr:row>
                    <xdr:rowOff>9525</xdr:rowOff>
                  </from>
                  <to>
                    <xdr:col>6</xdr:col>
                    <xdr:colOff>723900</xdr:colOff>
                    <xdr:row>165</xdr:row>
                    <xdr:rowOff>266700</xdr:rowOff>
                  </to>
                </anchor>
              </controlPr>
            </control>
          </mc:Choice>
        </mc:AlternateContent>
        <mc:AlternateContent xmlns:mc="http://schemas.openxmlformats.org/markup-compatibility/2006">
          <mc:Choice Requires="x14">
            <control shapeId="2997287" r:id="rId42" name="Group Box 39">
              <controlPr defaultSize="0" autoFill="0" autoPict="0">
                <anchor moveWithCells="1">
                  <from>
                    <xdr:col>5</xdr:col>
                    <xdr:colOff>0</xdr:colOff>
                    <xdr:row>171</xdr:row>
                    <xdr:rowOff>0</xdr:rowOff>
                  </from>
                  <to>
                    <xdr:col>7</xdr:col>
                    <xdr:colOff>0</xdr:colOff>
                    <xdr:row>172</xdr:row>
                    <xdr:rowOff>0</xdr:rowOff>
                  </to>
                </anchor>
              </controlPr>
            </control>
          </mc:Choice>
        </mc:AlternateContent>
        <mc:AlternateContent xmlns:mc="http://schemas.openxmlformats.org/markup-compatibility/2006">
          <mc:Choice Requires="x14">
            <control shapeId="2997288" r:id="rId43" name="Option Button 40">
              <controlPr defaultSize="0" autoFill="0" autoLine="0" autoPict="0">
                <anchor moveWithCells="1">
                  <from>
                    <xdr:col>5</xdr:col>
                    <xdr:colOff>571500</xdr:colOff>
                    <xdr:row>171</xdr:row>
                    <xdr:rowOff>104775</xdr:rowOff>
                  </from>
                  <to>
                    <xdr:col>5</xdr:col>
                    <xdr:colOff>752475</xdr:colOff>
                    <xdr:row>171</xdr:row>
                    <xdr:rowOff>333375</xdr:rowOff>
                  </to>
                </anchor>
              </controlPr>
            </control>
          </mc:Choice>
        </mc:AlternateContent>
        <mc:AlternateContent xmlns:mc="http://schemas.openxmlformats.org/markup-compatibility/2006">
          <mc:Choice Requires="x14">
            <control shapeId="2997289" r:id="rId44" name="Option Button 41">
              <controlPr defaultSize="0" autoFill="0" autoLine="0" autoPict="0">
                <anchor moveWithCells="1">
                  <from>
                    <xdr:col>6</xdr:col>
                    <xdr:colOff>457200</xdr:colOff>
                    <xdr:row>171</xdr:row>
                    <xdr:rowOff>104775</xdr:rowOff>
                  </from>
                  <to>
                    <xdr:col>6</xdr:col>
                    <xdr:colOff>752475</xdr:colOff>
                    <xdr:row>171</xdr:row>
                    <xdr:rowOff>333375</xdr:rowOff>
                  </to>
                </anchor>
              </controlPr>
            </control>
          </mc:Choice>
        </mc:AlternateContent>
      </controls>
    </mc:Choice>
  </mc:AlternateConten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3">
    <pageSetUpPr fitToPage="1"/>
  </sheetPr>
  <dimension ref="A1:M33"/>
  <sheetViews>
    <sheetView showGridLines="0" workbookViewId="0">
      <pane xSplit="2" ySplit="5" topLeftCell="C6" activePane="bottomRight" state="frozen"/>
      <selection pane="topRight" activeCell="C1" sqref="C1"/>
      <selection pane="bottomLeft" activeCell="A6" sqref="A6"/>
      <selection pane="bottomRight" activeCell="B5" sqref="B5"/>
    </sheetView>
  </sheetViews>
  <sheetFormatPr defaultRowHeight="11.25" x14ac:dyDescent="0.2"/>
  <cols>
    <col min="1" max="1" width="38.6640625" style="3" customWidth="1"/>
    <col min="2" max="2" width="10" style="2" customWidth="1"/>
    <col min="3" max="4" width="17.6640625" style="2" customWidth="1"/>
    <col min="5" max="5" width="16.33203125" style="2" customWidth="1"/>
    <col min="6" max="6" width="15.6640625" style="89" customWidth="1"/>
    <col min="7" max="7" width="18.33203125" style="89" customWidth="1"/>
    <col min="8" max="8" width="16.33203125" style="2" customWidth="1"/>
    <col min="9" max="9" width="15.6640625" style="89" customWidth="1"/>
    <col min="10" max="10" width="18.33203125" style="2" customWidth="1"/>
  </cols>
  <sheetData>
    <row r="1" spans="1:13" s="3" customFormat="1" ht="43.5" customHeight="1" x14ac:dyDescent="0.2">
      <c r="A1" s="1486" t="str">
        <f>'t1'!A1</f>
        <v>REGIONE VALLE D'AOSTA - anno 2024</v>
      </c>
      <c r="B1" s="1486"/>
      <c r="C1" s="1486"/>
      <c r="D1" s="1486"/>
      <c r="E1" s="1486"/>
      <c r="F1" s="1486"/>
      <c r="G1" s="1486"/>
      <c r="H1" s="1486"/>
      <c r="I1" s="1486"/>
      <c r="J1" s="1486"/>
      <c r="M1"/>
    </row>
    <row r="2" spans="1:13" s="3" customFormat="1" ht="12.75" customHeight="1" x14ac:dyDescent="0.2">
      <c r="D2" s="1573"/>
      <c r="E2" s="1573"/>
      <c r="F2" s="1573"/>
      <c r="G2" s="1573"/>
      <c r="H2" s="1573"/>
      <c r="I2" s="1573"/>
      <c r="J2" s="1573"/>
      <c r="M2"/>
    </row>
    <row r="3" spans="1:13" s="3" customFormat="1" ht="21" customHeight="1" x14ac:dyDescent="0.25">
      <c r="A3" s="168" t="s">
        <v>472</v>
      </c>
      <c r="B3" s="2"/>
      <c r="C3" s="2"/>
    </row>
    <row r="4" spans="1:13" ht="33.75" x14ac:dyDescent="0.15">
      <c r="A4" s="154" t="s">
        <v>229</v>
      </c>
      <c r="B4" s="155" t="s">
        <v>191</v>
      </c>
      <c r="C4" s="501" t="s">
        <v>313</v>
      </c>
      <c r="D4" s="155" t="s">
        <v>327</v>
      </c>
      <c r="E4" s="501" t="s">
        <v>465</v>
      </c>
      <c r="F4" s="501" t="s">
        <v>471</v>
      </c>
      <c r="G4" s="155" t="s">
        <v>393</v>
      </c>
      <c r="H4" s="501" t="s">
        <v>466</v>
      </c>
      <c r="I4" s="501" t="s">
        <v>471</v>
      </c>
      <c r="J4" s="501" t="s">
        <v>467</v>
      </c>
    </row>
    <row r="5" spans="1:13" s="171" customFormat="1" ht="10.5" x14ac:dyDescent="0.15">
      <c r="A5" s="153"/>
      <c r="B5" s="166"/>
      <c r="C5" s="166" t="s">
        <v>193</v>
      </c>
      <c r="D5" s="166" t="s">
        <v>194</v>
      </c>
      <c r="E5" s="166" t="s">
        <v>463</v>
      </c>
      <c r="F5" s="166" t="s">
        <v>469</v>
      </c>
      <c r="G5" s="166" t="s">
        <v>197</v>
      </c>
      <c r="H5" s="166" t="s">
        <v>464</v>
      </c>
      <c r="I5" s="166" t="s">
        <v>470</v>
      </c>
      <c r="J5" s="166"/>
    </row>
    <row r="6" spans="1:13" ht="12.75" x14ac:dyDescent="0.2">
      <c r="A6" s="112" t="str">
        <f>'t1'!A6</f>
        <v>SEGRETARIO I FASCIA</v>
      </c>
      <c r="B6" s="86" t="str">
        <f>'t1'!B6</f>
        <v>0D0102</v>
      </c>
      <c r="C6" s="295">
        <f>'t13'!X6</f>
        <v>0</v>
      </c>
      <c r="D6" s="295">
        <f>'t13'!U6</f>
        <v>0</v>
      </c>
      <c r="E6" s="297" t="str">
        <f>IF($C6=0," ",IF(D6=0," ",D6/$C6))</f>
        <v xml:space="preserve"> </v>
      </c>
      <c r="F6" s="281" t="str">
        <f>IF($C6=0," ",IF(D6=0," ",IF(E6&gt;0.2,"ERRORE","OK")))</f>
        <v xml:space="preserve"> </v>
      </c>
      <c r="G6" s="295">
        <f>'t13'!V6</f>
        <v>0</v>
      </c>
      <c r="H6" s="297" t="str">
        <f>IF($C6=0," ",IF(G6=0," ",G6/$C6))</f>
        <v xml:space="preserve"> </v>
      </c>
      <c r="I6" s="281" t="str">
        <f>IF($C6=0," ",IF(G6=0," ",IF(H6&gt;0.2,"ERRORE","OK")))</f>
        <v xml:space="preserve"> </v>
      </c>
      <c r="J6" s="315" t="str">
        <f>IF(OR(F6="ERRORE",I6="ERRORE"),"ERRORE","OK")</f>
        <v>OK</v>
      </c>
    </row>
    <row r="7" spans="1:13" ht="12.75" x14ac:dyDescent="0.2">
      <c r="A7" s="112" t="str">
        <f>'t1'!A7</f>
        <v>SEGRETARIO II FASCIA</v>
      </c>
      <c r="B7" s="86" t="str">
        <f>'t1'!B7</f>
        <v>0D0103</v>
      </c>
      <c r="C7" s="295">
        <f>'t13'!X7</f>
        <v>0</v>
      </c>
      <c r="D7" s="295">
        <f>'t13'!U7</f>
        <v>0</v>
      </c>
      <c r="E7" s="297" t="str">
        <f>IF($C7=0," ",IF(D7=0," ",D7/$C7))</f>
        <v xml:space="preserve"> </v>
      </c>
      <c r="F7" s="281" t="str">
        <f>IF($C7=0," ",IF(D7=0," ",IF(E7&gt;0.2,"ERRORE","OK")))</f>
        <v xml:space="preserve"> </v>
      </c>
      <c r="G7" s="295">
        <f>'t13'!V7</f>
        <v>0</v>
      </c>
      <c r="H7" s="297" t="str">
        <f>IF($C7=0," ",IF(G7=0," ",G7/$C7))</f>
        <v xml:space="preserve"> </v>
      </c>
      <c r="I7" s="281" t="str">
        <f>IF($C7=0," ",IF(G7=0," ",IF(H7&gt;0.2,"ERRORE","OK")))</f>
        <v xml:space="preserve"> </v>
      </c>
      <c r="J7" s="315" t="str">
        <f>IF(OR(F7="ERRORE",I7="ERRORE"),"ERRORE","OK")</f>
        <v>OK</v>
      </c>
    </row>
    <row r="8" spans="1:13" ht="12.75" x14ac:dyDescent="0.2">
      <c r="A8" s="112" t="str">
        <f>'t1'!A8</f>
        <v>SEGRETARIO III FASCIA</v>
      </c>
      <c r="B8" s="86" t="str">
        <f>'t1'!B8</f>
        <v>0D0485</v>
      </c>
      <c r="C8" s="295">
        <f>'t13'!X8</f>
        <v>0</v>
      </c>
      <c r="D8" s="295">
        <f>'t13'!U8</f>
        <v>0</v>
      </c>
      <c r="E8" s="297" t="str">
        <f>IF($C8=0," ",IF(D8=0," ",D8/$C8))</f>
        <v xml:space="preserve"> </v>
      </c>
      <c r="F8" s="281" t="str">
        <f>IF($C8=0," ",IF(D8=0," ",IF(E8&gt;0.2,"ERRORE","OK")))</f>
        <v xml:space="preserve"> </v>
      </c>
      <c r="G8" s="295">
        <f>'t13'!V8</f>
        <v>0</v>
      </c>
      <c r="H8" s="297" t="str">
        <f>IF($C8=0," ",IF(G8=0," ",G8/$C8))</f>
        <v xml:space="preserve"> </v>
      </c>
      <c r="I8" s="281" t="str">
        <f>IF($C8=0," ",IF(G8=0," ",IF(H8&gt;0.2,"ERRORE","OK")))</f>
        <v xml:space="preserve"> </v>
      </c>
      <c r="J8" s="315" t="str">
        <f>IF(OR(F8="ERRORE",I8="ERRORE"),"ERRORE","OK")</f>
        <v>OK</v>
      </c>
    </row>
    <row r="9" spans="1:13" ht="12.75" x14ac:dyDescent="0.2">
      <c r="A9" s="112" t="str">
        <f>'t1'!A9</f>
        <v>DIRIGENTI</v>
      </c>
      <c r="B9" s="86" t="str">
        <f>'t1'!B9</f>
        <v>0D0164</v>
      </c>
      <c r="C9" s="295">
        <f>'t13'!X9</f>
        <v>4014506</v>
      </c>
      <c r="D9" s="295">
        <f>'t13'!U9</f>
        <v>171893</v>
      </c>
      <c r="E9" s="297">
        <f>IF($C9=0," ",IF(D9=0," ",D9/$C9))</f>
        <v>4.2799999999999998E-2</v>
      </c>
      <c r="F9" s="281" t="str">
        <f>IF($C9=0," ",IF(D9=0," ",IF(E9&gt;0.2,"ERRORE","OK")))</f>
        <v>OK</v>
      </c>
      <c r="G9" s="295">
        <f>'t13'!V9</f>
        <v>92974</v>
      </c>
      <c r="H9" s="297">
        <f>IF($C9=0," ",IF(G9=0," ",G9/$C9))</f>
        <v>2.3199999999999998E-2</v>
      </c>
      <c r="I9" s="281" t="str">
        <f>IF($C9=0," ",IF(G9=0," ",IF(H9&gt;0.2,"ERRORE","OK")))</f>
        <v>OK</v>
      </c>
      <c r="J9" s="315" t="str">
        <f>IF(OR(F9="ERRORE",I9="ERRORE"),"ERRORE","OK")</f>
        <v>OK</v>
      </c>
    </row>
    <row r="10" spans="1:13" ht="12.75" x14ac:dyDescent="0.2">
      <c r="A10" s="112" t="str">
        <f>'t1'!A10</f>
        <v>POSIZIONE ECONOMICA D</v>
      </c>
      <c r="B10" s="86" t="str">
        <f>'t1'!B10</f>
        <v>047000</v>
      </c>
      <c r="C10" s="295">
        <f>'t13'!X10</f>
        <v>2984680</v>
      </c>
      <c r="D10" s="295">
        <f>'t13'!U10</f>
        <v>10238</v>
      </c>
      <c r="E10" s="297">
        <f t="shared" ref="E10:E25" si="0">IF($C10=0," ",IF(D10=0," ",D10/$C10))</f>
        <v>3.3999999999999998E-3</v>
      </c>
      <c r="F10" s="281" t="str">
        <f t="shared" ref="F10:F25" si="1">IF($C10=0," ",IF(D10=0," ",IF(E10&gt;0.2,"ERRORE","OK")))</f>
        <v>OK</v>
      </c>
      <c r="G10" s="295">
        <f>'t13'!V10</f>
        <v>225472</v>
      </c>
      <c r="H10" s="297">
        <f t="shared" ref="H10:H25" si="2">IF($C10=0," ",IF(G10=0," ",G10/$C10))</f>
        <v>7.5499999999999998E-2</v>
      </c>
      <c r="I10" s="281" t="str">
        <f t="shared" ref="I10:I25" si="3">IF($C10=0," ",IF(G10=0," ",IF(H10&gt;0.2,"ERRORE","OK")))</f>
        <v>OK</v>
      </c>
      <c r="J10" s="315" t="str">
        <f t="shared" ref="J10:J25" si="4">IF(OR(F10="ERRORE",I10="ERRORE"),"ERRORE","OK")</f>
        <v>OK</v>
      </c>
    </row>
    <row r="11" spans="1:13" ht="12.75" x14ac:dyDescent="0.2">
      <c r="A11" s="112" t="str">
        <f>'t1'!A11</f>
        <v>POSIZIONE ECONOMICA D - FORESTALE</v>
      </c>
      <c r="B11" s="86" t="str">
        <f>'t1'!B11</f>
        <v>047FOR</v>
      </c>
      <c r="C11" s="295">
        <f>'t13'!X11</f>
        <v>0</v>
      </c>
      <c r="D11" s="295">
        <f>'t13'!U11</f>
        <v>0</v>
      </c>
      <c r="E11" s="297" t="str">
        <f t="shared" si="0"/>
        <v xml:space="preserve"> </v>
      </c>
      <c r="F11" s="281" t="str">
        <f t="shared" si="1"/>
        <v xml:space="preserve"> </v>
      </c>
      <c r="G11" s="295">
        <f>'t13'!V11</f>
        <v>0</v>
      </c>
      <c r="H11" s="297" t="str">
        <f t="shared" si="2"/>
        <v xml:space="preserve"> </v>
      </c>
      <c r="I11" s="281" t="str">
        <f t="shared" si="3"/>
        <v xml:space="preserve"> </v>
      </c>
      <c r="J11" s="315" t="str">
        <f t="shared" si="4"/>
        <v>OK</v>
      </c>
    </row>
    <row r="12" spans="1:13" ht="12.75" x14ac:dyDescent="0.2">
      <c r="A12" s="112" t="str">
        <f>'t1'!A12</f>
        <v>POSIZIONE ECONOMICA D  ISPETTORE ANTINCENDI DIRETTORE-VVFF</v>
      </c>
      <c r="B12" s="86" t="str">
        <f>'t1'!B12</f>
        <v>047IS3</v>
      </c>
      <c r="C12" s="295">
        <f>'t13'!X12</f>
        <v>2895</v>
      </c>
      <c r="D12" s="295">
        <f>'t13'!U12</f>
        <v>0</v>
      </c>
      <c r="E12" s="297" t="str">
        <f t="shared" si="0"/>
        <v xml:space="preserve"> </v>
      </c>
      <c r="F12" s="281" t="str">
        <f t="shared" si="1"/>
        <v xml:space="preserve"> </v>
      </c>
      <c r="G12" s="295">
        <f>'t13'!V12</f>
        <v>314</v>
      </c>
      <c r="H12" s="297">
        <f t="shared" si="2"/>
        <v>0.1085</v>
      </c>
      <c r="I12" s="281" t="str">
        <f t="shared" si="3"/>
        <v>OK</v>
      </c>
      <c r="J12" s="315" t="str">
        <f t="shared" si="4"/>
        <v>OK</v>
      </c>
    </row>
    <row r="13" spans="1:13" ht="12.75" x14ac:dyDescent="0.2">
      <c r="A13" s="112" t="str">
        <f>'t1'!A13</f>
        <v>POSIZIONE ECONOMICA D  ISPETTORE ANTINCENDI  VVFF</v>
      </c>
      <c r="B13" s="86" t="str">
        <f>'t1'!B13</f>
        <v>047IS2</v>
      </c>
      <c r="C13" s="295">
        <f>'t13'!X13</f>
        <v>113194</v>
      </c>
      <c r="D13" s="295">
        <f>'t13'!U13</f>
        <v>0</v>
      </c>
      <c r="E13" s="297" t="str">
        <f t="shared" si="0"/>
        <v xml:space="preserve"> </v>
      </c>
      <c r="F13" s="281" t="str">
        <f t="shared" si="1"/>
        <v xml:space="preserve"> </v>
      </c>
      <c r="G13" s="295">
        <f>'t13'!V13</f>
        <v>21315</v>
      </c>
      <c r="H13" s="297">
        <f t="shared" si="2"/>
        <v>0.1883</v>
      </c>
      <c r="I13" s="281" t="str">
        <f t="shared" si="3"/>
        <v>OK</v>
      </c>
      <c r="J13" s="315" t="str">
        <f t="shared" si="4"/>
        <v>OK</v>
      </c>
    </row>
    <row r="14" spans="1:13" ht="12.75" x14ac:dyDescent="0.2">
      <c r="A14" s="112" t="str">
        <f>'t1'!A14</f>
        <v>POSIZIONE ECONOMICA C2</v>
      </c>
      <c r="B14" s="86" t="str">
        <f>'t1'!B14</f>
        <v>042000</v>
      </c>
      <c r="C14" s="295">
        <f>'t13'!X14</f>
        <v>3558358</v>
      </c>
      <c r="D14" s="295">
        <f>'t13'!U14</f>
        <v>0</v>
      </c>
      <c r="E14" s="297" t="str">
        <f t="shared" si="0"/>
        <v xml:space="preserve"> </v>
      </c>
      <c r="F14" s="281" t="str">
        <f t="shared" si="1"/>
        <v xml:space="preserve"> </v>
      </c>
      <c r="G14" s="295">
        <f>'t13'!V14</f>
        <v>741261</v>
      </c>
      <c r="H14" s="297">
        <f t="shared" si="2"/>
        <v>0.20830000000000001</v>
      </c>
      <c r="I14" s="281" t="str">
        <f t="shared" si="3"/>
        <v>ERRORE</v>
      </c>
      <c r="J14" s="315" t="str">
        <f t="shared" si="4"/>
        <v>ERRORE</v>
      </c>
    </row>
    <row r="15" spans="1:13" ht="12.75" x14ac:dyDescent="0.2">
      <c r="A15" s="112" t="str">
        <f>'t1'!A15</f>
        <v>POSIZIONE ECONOMICA C1</v>
      </c>
      <c r="B15" s="86" t="str">
        <f>'t1'!B15</f>
        <v>040000</v>
      </c>
      <c r="C15" s="295">
        <f>'t13'!X15</f>
        <v>109162</v>
      </c>
      <c r="D15" s="295">
        <f>'t13'!U15</f>
        <v>0</v>
      </c>
      <c r="E15" s="297" t="str">
        <f t="shared" si="0"/>
        <v xml:space="preserve"> </v>
      </c>
      <c r="F15" s="281" t="str">
        <f t="shared" si="1"/>
        <v xml:space="preserve"> </v>
      </c>
      <c r="G15" s="295">
        <f>'t13'!V15</f>
        <v>18661</v>
      </c>
      <c r="H15" s="297">
        <f t="shared" si="2"/>
        <v>0.1709</v>
      </c>
      <c r="I15" s="281" t="str">
        <f t="shared" si="3"/>
        <v>OK</v>
      </c>
      <c r="J15" s="315" t="str">
        <f t="shared" si="4"/>
        <v>OK</v>
      </c>
    </row>
    <row r="16" spans="1:13" ht="12.75" x14ac:dyDescent="0.2">
      <c r="A16" s="112" t="str">
        <f>'t1'!A16</f>
        <v>ISPETTORE FORESTALE C21F</v>
      </c>
      <c r="B16" s="86" t="str">
        <f>'t1'!B16</f>
        <v>042324</v>
      </c>
      <c r="C16" s="295">
        <f>'t13'!X16</f>
        <v>346891</v>
      </c>
      <c r="D16" s="295">
        <f>'t13'!U16</f>
        <v>22801</v>
      </c>
      <c r="E16" s="297">
        <f t="shared" si="0"/>
        <v>6.5699999999999995E-2</v>
      </c>
      <c r="F16" s="281" t="str">
        <f t="shared" si="1"/>
        <v>OK</v>
      </c>
      <c r="G16" s="295">
        <f>'t13'!V16</f>
        <v>37751</v>
      </c>
      <c r="H16" s="297">
        <f t="shared" si="2"/>
        <v>0.10879999999999999</v>
      </c>
      <c r="I16" s="281" t="str">
        <f t="shared" si="3"/>
        <v>OK</v>
      </c>
      <c r="J16" s="315" t="str">
        <f t="shared" si="4"/>
        <v>OK</v>
      </c>
    </row>
    <row r="17" spans="1:10" ht="12.75" x14ac:dyDescent="0.2">
      <c r="A17" s="112" t="str">
        <f>'t1'!A17</f>
        <v>SOVRAINTENDENTE C1F</v>
      </c>
      <c r="B17" s="86" t="str">
        <f>'t1'!B17</f>
        <v>040211</v>
      </c>
      <c r="C17" s="295">
        <f>'t13'!X17</f>
        <v>410691</v>
      </c>
      <c r="D17" s="295">
        <f>'t13'!U17</f>
        <v>30915</v>
      </c>
      <c r="E17" s="297">
        <f t="shared" si="0"/>
        <v>7.5300000000000006E-2</v>
      </c>
      <c r="F17" s="281" t="str">
        <f t="shared" si="1"/>
        <v>OK</v>
      </c>
      <c r="G17" s="295">
        <f>'t13'!V17</f>
        <v>61865</v>
      </c>
      <c r="H17" s="297">
        <f t="shared" si="2"/>
        <v>0.15060000000000001</v>
      </c>
      <c r="I17" s="281" t="str">
        <f t="shared" si="3"/>
        <v>OK</v>
      </c>
      <c r="J17" s="315" t="str">
        <f t="shared" si="4"/>
        <v>OK</v>
      </c>
    </row>
    <row r="18" spans="1:10" ht="12.75" x14ac:dyDescent="0.2">
      <c r="A18" s="112" t="str">
        <f>'t1'!A18</f>
        <v>POSIZIONE ECONOMICA C2  CAPO REPARTO  VVFF</v>
      </c>
      <c r="B18" s="86" t="str">
        <f>'t1'!B18</f>
        <v>042CR1</v>
      </c>
      <c r="C18" s="295">
        <f>'t13'!X18</f>
        <v>238284</v>
      </c>
      <c r="D18" s="295">
        <f>'t13'!U18</f>
        <v>0</v>
      </c>
      <c r="E18" s="297" t="str">
        <f t="shared" si="0"/>
        <v xml:space="preserve"> </v>
      </c>
      <c r="F18" s="281" t="str">
        <f t="shared" si="1"/>
        <v xml:space="preserve"> </v>
      </c>
      <c r="G18" s="295">
        <f>'t13'!V18</f>
        <v>46710</v>
      </c>
      <c r="H18" s="297">
        <f t="shared" si="2"/>
        <v>0.19600000000000001</v>
      </c>
      <c r="I18" s="281" t="str">
        <f t="shared" si="3"/>
        <v>OK</v>
      </c>
      <c r="J18" s="315" t="str">
        <f t="shared" si="4"/>
        <v>OK</v>
      </c>
    </row>
    <row r="19" spans="1:10" ht="12.75" x14ac:dyDescent="0.2">
      <c r="A19" s="112" t="str">
        <f>'t1'!A19</f>
        <v>POSIZIONE ECONOMICA C2  COLLAB. TECNICO ANTINCENDI  VVFF</v>
      </c>
      <c r="B19" s="86" t="str">
        <f>'t1'!B19</f>
        <v>042CA0</v>
      </c>
      <c r="C19" s="295">
        <f>'t13'!X19</f>
        <v>164500</v>
      </c>
      <c r="D19" s="295">
        <f>'t13'!U19</f>
        <v>0</v>
      </c>
      <c r="E19" s="297" t="str">
        <f t="shared" si="0"/>
        <v xml:space="preserve"> </v>
      </c>
      <c r="F19" s="281" t="str">
        <f t="shared" si="1"/>
        <v xml:space="preserve"> </v>
      </c>
      <c r="G19" s="295">
        <f>'t13'!V19</f>
        <v>30758</v>
      </c>
      <c r="H19" s="297">
        <f t="shared" si="2"/>
        <v>0.187</v>
      </c>
      <c r="I19" s="281" t="str">
        <f t="shared" si="3"/>
        <v>OK</v>
      </c>
      <c r="J19" s="315" t="str">
        <f t="shared" si="4"/>
        <v>OK</v>
      </c>
    </row>
    <row r="20" spans="1:10" ht="12.75" x14ac:dyDescent="0.2">
      <c r="A20" s="112" t="str">
        <f>'t1'!A20</f>
        <v>POSIZIONE ECONOMICA C1  CAPO SQUADRA  VVFF</v>
      </c>
      <c r="B20" s="86" t="str">
        <f>'t1'!B20</f>
        <v>040CS1</v>
      </c>
      <c r="C20" s="295">
        <f>'t13'!X20</f>
        <v>618226</v>
      </c>
      <c r="D20" s="295">
        <f>'t13'!U20</f>
        <v>0</v>
      </c>
      <c r="E20" s="297" t="str">
        <f t="shared" si="0"/>
        <v xml:space="preserve"> </v>
      </c>
      <c r="F20" s="281" t="str">
        <f t="shared" si="1"/>
        <v xml:space="preserve"> </v>
      </c>
      <c r="G20" s="295">
        <f>'t13'!V20</f>
        <v>127995</v>
      </c>
      <c r="H20" s="297">
        <f t="shared" si="2"/>
        <v>0.20699999999999999</v>
      </c>
      <c r="I20" s="281" t="str">
        <f t="shared" si="3"/>
        <v>ERRORE</v>
      </c>
      <c r="J20" s="315" t="str">
        <f t="shared" si="4"/>
        <v>ERRORE</v>
      </c>
    </row>
    <row r="21" spans="1:10" ht="12.75" x14ac:dyDescent="0.2">
      <c r="A21" s="112" t="str">
        <f>'t1'!A21</f>
        <v>POSIZIONE ECONOMICA B3</v>
      </c>
      <c r="B21" s="86" t="str">
        <f>'t1'!B21</f>
        <v>034000</v>
      </c>
      <c r="C21" s="295">
        <f>'t13'!X21</f>
        <v>65733</v>
      </c>
      <c r="D21" s="295">
        <f>'t13'!U21</f>
        <v>0</v>
      </c>
      <c r="E21" s="297" t="str">
        <f t="shared" si="0"/>
        <v xml:space="preserve"> </v>
      </c>
      <c r="F21" s="281" t="str">
        <f t="shared" si="1"/>
        <v xml:space="preserve"> </v>
      </c>
      <c r="G21" s="295">
        <f>'t13'!V21</f>
        <v>19554</v>
      </c>
      <c r="H21" s="297">
        <f t="shared" si="2"/>
        <v>0.29749999999999999</v>
      </c>
      <c r="I21" s="281" t="str">
        <f t="shared" si="3"/>
        <v>ERRORE</v>
      </c>
      <c r="J21" s="315" t="str">
        <f t="shared" si="4"/>
        <v>ERRORE</v>
      </c>
    </row>
    <row r="22" spans="1:10" ht="12.75" x14ac:dyDescent="0.2">
      <c r="A22" s="112" t="str">
        <f>'t1'!A22</f>
        <v>POSIZIONE ECONOMICA B2S</v>
      </c>
      <c r="B22" s="86" t="str">
        <f>'t1'!B22</f>
        <v>033000</v>
      </c>
      <c r="C22" s="295">
        <f>'t13'!X22</f>
        <v>13386</v>
      </c>
      <c r="D22" s="295">
        <f>'t13'!U22</f>
        <v>0</v>
      </c>
      <c r="E22" s="297" t="str">
        <f t="shared" si="0"/>
        <v xml:space="preserve"> </v>
      </c>
      <c r="F22" s="281" t="str">
        <f t="shared" si="1"/>
        <v xml:space="preserve"> </v>
      </c>
      <c r="G22" s="295">
        <f>'t13'!V22</f>
        <v>0</v>
      </c>
      <c r="H22" s="297" t="str">
        <f t="shared" si="2"/>
        <v xml:space="preserve"> </v>
      </c>
      <c r="I22" s="281" t="str">
        <f t="shared" si="3"/>
        <v xml:space="preserve"> </v>
      </c>
      <c r="J22" s="315" t="str">
        <f t="shared" si="4"/>
        <v>OK</v>
      </c>
    </row>
    <row r="23" spans="1:10" ht="12.75" x14ac:dyDescent="0.2">
      <c r="A23" s="112" t="str">
        <f>'t1'!A23</f>
        <v>POSIZIONE ECONOMICA B2</v>
      </c>
      <c r="B23" s="86" t="str">
        <f>'t1'!B23</f>
        <v>032000</v>
      </c>
      <c r="C23" s="295">
        <f>'t13'!X23</f>
        <v>2371165</v>
      </c>
      <c r="D23" s="295">
        <f>'t13'!U23</f>
        <v>0</v>
      </c>
      <c r="E23" s="297" t="str">
        <f t="shared" si="0"/>
        <v xml:space="preserve"> </v>
      </c>
      <c r="F23" s="281" t="str">
        <f t="shared" si="1"/>
        <v xml:space="preserve"> </v>
      </c>
      <c r="G23" s="295">
        <f>'t13'!V23</f>
        <v>465853</v>
      </c>
      <c r="H23" s="297">
        <f t="shared" si="2"/>
        <v>0.19650000000000001</v>
      </c>
      <c r="I23" s="281" t="str">
        <f t="shared" si="3"/>
        <v>OK</v>
      </c>
      <c r="J23" s="315" t="str">
        <f t="shared" si="4"/>
        <v>OK</v>
      </c>
    </row>
    <row r="24" spans="1:10" ht="12.75" x14ac:dyDescent="0.2">
      <c r="A24" s="112" t="str">
        <f>'t1'!A24</f>
        <v>POSIZIONE ECONOMICA B1</v>
      </c>
      <c r="B24" s="86" t="str">
        <f>'t1'!B24</f>
        <v>030000</v>
      </c>
      <c r="C24" s="295">
        <f>'t13'!X24</f>
        <v>114593</v>
      </c>
      <c r="D24" s="295">
        <f>'t13'!U24</f>
        <v>0</v>
      </c>
      <c r="E24" s="297" t="str">
        <f t="shared" si="0"/>
        <v xml:space="preserve"> </v>
      </c>
      <c r="F24" s="281" t="str">
        <f t="shared" si="1"/>
        <v xml:space="preserve"> </v>
      </c>
      <c r="G24" s="295">
        <f>'t13'!V24</f>
        <v>8811</v>
      </c>
      <c r="H24" s="297">
        <f t="shared" si="2"/>
        <v>7.6899999999999996E-2</v>
      </c>
      <c r="I24" s="281" t="str">
        <f t="shared" si="3"/>
        <v>OK</v>
      </c>
      <c r="J24" s="315" t="str">
        <f t="shared" si="4"/>
        <v>OK</v>
      </c>
    </row>
    <row r="25" spans="1:10" ht="12.75" x14ac:dyDescent="0.2">
      <c r="A25" s="112" t="str">
        <f>'t1'!A25</f>
        <v>POS. EC. B3-GUARDIA  FORESTALE 5 A.</v>
      </c>
      <c r="B25" s="86" t="str">
        <f>'t1'!B25</f>
        <v>034561</v>
      </c>
      <c r="C25" s="295">
        <f>'t13'!X25</f>
        <v>978822</v>
      </c>
      <c r="D25" s="295">
        <f>'t13'!U25</f>
        <v>294467</v>
      </c>
      <c r="E25" s="297">
        <f t="shared" si="0"/>
        <v>0.30080000000000001</v>
      </c>
      <c r="F25" s="281" t="str">
        <f t="shared" si="1"/>
        <v>ERRORE</v>
      </c>
      <c r="G25" s="295">
        <f>'t13'!V25</f>
        <v>74144</v>
      </c>
      <c r="H25" s="297">
        <f t="shared" si="2"/>
        <v>7.5700000000000003E-2</v>
      </c>
      <c r="I25" s="281" t="str">
        <f t="shared" si="3"/>
        <v>OK</v>
      </c>
      <c r="J25" s="315" t="str">
        <f t="shared" si="4"/>
        <v>ERRORE</v>
      </c>
    </row>
    <row r="26" spans="1:10" ht="12.75" x14ac:dyDescent="0.2">
      <c r="A26" s="112" t="str">
        <f>'t1'!A26</f>
        <v>POS. EC. B2-GUARDIA  FORESTALE</v>
      </c>
      <c r="B26" s="86" t="str">
        <f>'t1'!B26</f>
        <v>032561</v>
      </c>
      <c r="C26" s="295">
        <f>'t13'!X26</f>
        <v>243863</v>
      </c>
      <c r="D26" s="295">
        <f>'t13'!U26</f>
        <v>0</v>
      </c>
      <c r="E26" s="297" t="str">
        <f t="shared" ref="E26:E33" si="5">IF($C26=0," ",IF(D26=0," ",D26/$C26))</f>
        <v xml:space="preserve"> </v>
      </c>
      <c r="F26" s="281" t="str">
        <f t="shared" ref="F26:F33" si="6">IF($C26=0," ",IF(D26=0," ",IF(E26&gt;0.2,"ERRORE","OK")))</f>
        <v xml:space="preserve"> </v>
      </c>
      <c r="G26" s="295">
        <f>'t13'!V26</f>
        <v>34778</v>
      </c>
      <c r="H26" s="297">
        <f t="shared" ref="H26:H33" si="7">IF($C26=0," ",IF(G26=0," ",G26/$C26))</f>
        <v>0.1426</v>
      </c>
      <c r="I26" s="281" t="str">
        <f t="shared" ref="I26:I33" si="8">IF($C26=0," ",IF(G26=0," ",IF(H26&gt;0.2,"ERRORE","OK")))</f>
        <v>OK</v>
      </c>
      <c r="J26" s="315" t="str">
        <f t="shared" ref="J26:J33" si="9">IF(OR(F26="ERRORE",I26="ERRORE"),"ERRORE","OK")</f>
        <v>OK</v>
      </c>
    </row>
    <row r="27" spans="1:10" ht="12.75" x14ac:dyDescent="0.2">
      <c r="A27" s="112" t="str">
        <f>'t1'!A27</f>
        <v>POSIZIONE ECONOMICA B1 - FORESTALE</v>
      </c>
      <c r="B27" s="86" t="str">
        <f>'t1'!B27</f>
        <v>030FOR</v>
      </c>
      <c r="C27" s="295">
        <f>'t13'!X27</f>
        <v>0</v>
      </c>
      <c r="D27" s="295">
        <f>'t13'!U27</f>
        <v>0</v>
      </c>
      <c r="E27" s="297" t="str">
        <f t="shared" si="5"/>
        <v xml:space="preserve"> </v>
      </c>
      <c r="F27" s="281" t="str">
        <f t="shared" si="6"/>
        <v xml:space="preserve"> </v>
      </c>
      <c r="G27" s="295">
        <f>'t13'!V27</f>
        <v>0</v>
      </c>
      <c r="H27" s="297" t="str">
        <f t="shared" si="7"/>
        <v xml:space="preserve"> </v>
      </c>
      <c r="I27" s="281" t="str">
        <f t="shared" si="8"/>
        <v xml:space="preserve"> </v>
      </c>
      <c r="J27" s="315" t="str">
        <f t="shared" si="9"/>
        <v>OK</v>
      </c>
    </row>
    <row r="28" spans="1:10" ht="12.75" x14ac:dyDescent="0.2">
      <c r="A28" s="112" t="str">
        <f>'t1'!A28</f>
        <v>POSIZIONE ECONOMICA B3  VIGILE DEL FUOCO &gt; 5 ANNI</v>
      </c>
      <c r="B28" s="86" t="str">
        <f>'t1'!B28</f>
        <v>034VF5</v>
      </c>
      <c r="C28" s="295">
        <f>'t13'!X28</f>
        <v>1463067</v>
      </c>
      <c r="D28" s="295">
        <f>'t13'!U28</f>
        <v>0</v>
      </c>
      <c r="E28" s="297" t="str">
        <f t="shared" si="5"/>
        <v xml:space="preserve"> </v>
      </c>
      <c r="F28" s="281" t="str">
        <f t="shared" si="6"/>
        <v xml:space="preserve"> </v>
      </c>
      <c r="G28" s="295">
        <f>'t13'!V28</f>
        <v>243501</v>
      </c>
      <c r="H28" s="297">
        <f t="shared" si="7"/>
        <v>0.16639999999999999</v>
      </c>
      <c r="I28" s="281" t="str">
        <f t="shared" si="8"/>
        <v>OK</v>
      </c>
      <c r="J28" s="315" t="str">
        <f t="shared" si="9"/>
        <v>OK</v>
      </c>
    </row>
    <row r="29" spans="1:10" ht="12.75" x14ac:dyDescent="0.2">
      <c r="A29" s="112" t="str">
        <f>'t1'!A29</f>
        <v>POSIZIONE ECONOMICA B2  VIGILE DEL FUOCO</v>
      </c>
      <c r="B29" s="86" t="str">
        <f>'t1'!B29</f>
        <v>032VF1</v>
      </c>
      <c r="C29" s="295">
        <f>'t13'!X29</f>
        <v>338581</v>
      </c>
      <c r="D29" s="295">
        <f>'t13'!U29</f>
        <v>0</v>
      </c>
      <c r="E29" s="297" t="str">
        <f t="shared" si="5"/>
        <v xml:space="preserve"> </v>
      </c>
      <c r="F29" s="281" t="str">
        <f t="shared" si="6"/>
        <v xml:space="preserve"> </v>
      </c>
      <c r="G29" s="295">
        <f>'t13'!V29</f>
        <v>57245</v>
      </c>
      <c r="H29" s="297">
        <f t="shared" si="7"/>
        <v>0.1691</v>
      </c>
      <c r="I29" s="281" t="str">
        <f t="shared" si="8"/>
        <v>OK</v>
      </c>
      <c r="J29" s="315" t="str">
        <f t="shared" si="9"/>
        <v>OK</v>
      </c>
    </row>
    <row r="30" spans="1:10" ht="12.75" x14ac:dyDescent="0.2">
      <c r="A30" s="112" t="str">
        <f>'t1'!A30</f>
        <v>POSIZIONE ECONOMICA A</v>
      </c>
      <c r="B30" s="86" t="str">
        <f>'t1'!B30</f>
        <v>022000</v>
      </c>
      <c r="C30" s="295">
        <f>'t13'!X30</f>
        <v>749163</v>
      </c>
      <c r="D30" s="295">
        <f>'t13'!U30</f>
        <v>0</v>
      </c>
      <c r="E30" s="297" t="str">
        <f t="shared" si="5"/>
        <v xml:space="preserve"> </v>
      </c>
      <c r="F30" s="281" t="str">
        <f t="shared" si="6"/>
        <v xml:space="preserve"> </v>
      </c>
      <c r="G30" s="295">
        <f>'t13'!V30</f>
        <v>47554</v>
      </c>
      <c r="H30" s="297">
        <f t="shared" si="7"/>
        <v>6.3500000000000001E-2</v>
      </c>
      <c r="I30" s="281" t="str">
        <f t="shared" si="8"/>
        <v>OK</v>
      </c>
      <c r="J30" s="315" t="str">
        <f t="shared" si="9"/>
        <v>OK</v>
      </c>
    </row>
    <row r="31" spans="1:10" ht="12.75" x14ac:dyDescent="0.2">
      <c r="A31" s="112" t="str">
        <f>'t1'!A31</f>
        <v>CONTRATTISTI</v>
      </c>
      <c r="B31" s="86" t="str">
        <f>'t1'!B31</f>
        <v>000061</v>
      </c>
      <c r="C31" s="295">
        <f>'t13'!X31</f>
        <v>167266</v>
      </c>
      <c r="D31" s="295">
        <f>'t13'!U31</f>
        <v>0</v>
      </c>
      <c r="E31" s="297" t="str">
        <f t="shared" si="5"/>
        <v xml:space="preserve"> </v>
      </c>
      <c r="F31" s="281" t="str">
        <f t="shared" si="6"/>
        <v xml:space="preserve"> </v>
      </c>
      <c r="G31" s="295">
        <f>'t13'!V31</f>
        <v>14817</v>
      </c>
      <c r="H31" s="297">
        <f t="shared" si="7"/>
        <v>8.8599999999999998E-2</v>
      </c>
      <c r="I31" s="281" t="str">
        <f t="shared" si="8"/>
        <v>OK</v>
      </c>
      <c r="J31" s="315" t="str">
        <f t="shared" si="9"/>
        <v>OK</v>
      </c>
    </row>
    <row r="32" spans="1:10" ht="12.75" x14ac:dyDescent="0.2">
      <c r="A32" s="112" t="str">
        <f>'t1'!A32</f>
        <v>SEGRETARIO GENERALE CCIAA</v>
      </c>
      <c r="B32" s="86" t="str">
        <f>'t1'!B32</f>
        <v>0D0104</v>
      </c>
      <c r="C32" s="295">
        <f>'t13'!X32</f>
        <v>0</v>
      </c>
      <c r="D32" s="295">
        <f>'t13'!U32</f>
        <v>0</v>
      </c>
      <c r="E32" s="297" t="str">
        <f t="shared" si="5"/>
        <v xml:space="preserve"> </v>
      </c>
      <c r="F32" s="281" t="str">
        <f t="shared" si="6"/>
        <v xml:space="preserve"> </v>
      </c>
      <c r="G32" s="295">
        <f>'t13'!V32</f>
        <v>0</v>
      </c>
      <c r="H32" s="297" t="str">
        <f t="shared" si="7"/>
        <v xml:space="preserve"> </v>
      </c>
      <c r="I32" s="281" t="str">
        <f t="shared" si="8"/>
        <v xml:space="preserve"> </v>
      </c>
      <c r="J32" s="315" t="str">
        <f t="shared" si="9"/>
        <v>OK</v>
      </c>
    </row>
    <row r="33" spans="1:10" ht="12.75" x14ac:dyDescent="0.2">
      <c r="A33" s="112" t="str">
        <f>'t1'!A33</f>
        <v>COLLABORATORE A TEMPO DETERMINATO</v>
      </c>
      <c r="B33" s="86" t="str">
        <f>'t1'!B33</f>
        <v>000096</v>
      </c>
      <c r="C33" s="295">
        <f>'t13'!X33</f>
        <v>28530</v>
      </c>
      <c r="D33" s="295">
        <f>'t13'!U33</f>
        <v>0</v>
      </c>
      <c r="E33" s="297" t="str">
        <f t="shared" si="5"/>
        <v xml:space="preserve"> </v>
      </c>
      <c r="F33" s="281" t="str">
        <f t="shared" si="6"/>
        <v xml:space="preserve"> </v>
      </c>
      <c r="G33" s="295">
        <f>'t13'!V33</f>
        <v>0</v>
      </c>
      <c r="H33" s="297" t="str">
        <f t="shared" si="7"/>
        <v xml:space="preserve"> </v>
      </c>
      <c r="I33" s="281" t="str">
        <f t="shared" si="8"/>
        <v xml:space="preserve"> </v>
      </c>
      <c r="J33" s="315" t="str">
        <f t="shared" si="9"/>
        <v>OK</v>
      </c>
    </row>
  </sheetData>
  <sheetProtection password="DD41" sheet="1" formatColumns="0" selectLockedCells="1" selectUnlockedCells="1"/>
  <mergeCells count="2">
    <mergeCell ref="A1:J1"/>
    <mergeCell ref="D2:J2"/>
  </mergeCells>
  <printOptions horizontalCentered="1"/>
  <pageMargins left="0.23622047244094491" right="0.23622047244094491" top="0.2" bottom="0.16" header="0.17" footer="0.16"/>
  <pageSetup paperSize="9" scale="83" orientation="landscape" horizontalDpi="0" verticalDpi="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
  <dimension ref="A1:L14"/>
  <sheetViews>
    <sheetView showGridLines="0" workbookViewId="0">
      <selection activeCell="N11" sqref="N11"/>
    </sheetView>
  </sheetViews>
  <sheetFormatPr defaultRowHeight="11.25" x14ac:dyDescent="0.2"/>
  <cols>
    <col min="1" max="1" width="37.6640625" style="3" customWidth="1"/>
    <col min="2" max="2" width="8.5" style="2" hidden="1" customWidth="1"/>
    <col min="3" max="5" width="12.6640625" style="3" customWidth="1"/>
    <col min="6" max="6" width="1.6640625" style="3" customWidth="1"/>
    <col min="7" max="9" width="12.6640625" style="446" customWidth="1"/>
    <col min="10" max="10" width="1.6640625" customWidth="1"/>
    <col min="11" max="12" width="14.6640625" customWidth="1"/>
  </cols>
  <sheetData>
    <row r="1" spans="1:12" ht="32.450000000000003" customHeight="1" x14ac:dyDescent="0.15">
      <c r="A1" s="1633" t="str">
        <f>'t1'!A1</f>
        <v>REGIONE VALLE D'AOSTA - anno 2024</v>
      </c>
      <c r="B1" s="1633"/>
      <c r="C1" s="1633"/>
      <c r="D1" s="1633"/>
      <c r="E1" s="1633"/>
      <c r="F1" s="1633"/>
      <c r="G1" s="1633"/>
      <c r="H1" s="1633"/>
      <c r="I1" s="1633"/>
      <c r="J1" s="1633"/>
      <c r="K1" s="1633"/>
      <c r="L1" s="1633"/>
    </row>
    <row r="2" spans="1:12" ht="42" customHeight="1" thickBot="1" x14ac:dyDescent="0.25">
      <c r="A2" s="1634" t="s">
        <v>622</v>
      </c>
      <c r="B2" s="1634"/>
      <c r="C2" s="1634"/>
      <c r="D2" s="1634"/>
      <c r="E2" s="1634"/>
      <c r="F2" s="1634"/>
      <c r="G2" s="1634"/>
      <c r="H2" s="1634"/>
      <c r="I2" s="1634"/>
      <c r="J2" s="1634"/>
      <c r="K2" s="1634"/>
      <c r="L2" s="1634"/>
    </row>
    <row r="3" spans="1:12" ht="30.6" customHeight="1" thickBot="1" x14ac:dyDescent="0.2">
      <c r="A3" s="695" t="s">
        <v>100</v>
      </c>
      <c r="B3" s="696" t="s">
        <v>68</v>
      </c>
      <c r="C3" s="1635" t="s">
        <v>623</v>
      </c>
      <c r="D3" s="1636"/>
      <c r="E3" s="1637"/>
      <c r="F3" s="697"/>
      <c r="G3" s="1638" t="s">
        <v>624</v>
      </c>
      <c r="H3" s="1639"/>
      <c r="I3" s="1640"/>
      <c r="K3" s="1638" t="s">
        <v>625</v>
      </c>
      <c r="L3" s="1640"/>
    </row>
    <row r="4" spans="1:12" ht="12.75" x14ac:dyDescent="0.2">
      <c r="A4" s="698"/>
      <c r="B4" s="699"/>
      <c r="C4" s="700" t="s">
        <v>69</v>
      </c>
      <c r="D4" s="701" t="s">
        <v>70</v>
      </c>
      <c r="E4" s="702" t="s">
        <v>626</v>
      </c>
      <c r="F4" s="703"/>
      <c r="G4" s="700" t="s">
        <v>69</v>
      </c>
      <c r="H4" s="701" t="s">
        <v>70</v>
      </c>
      <c r="I4" s="702" t="s">
        <v>626</v>
      </c>
      <c r="J4" s="171"/>
      <c r="K4" s="700" t="s">
        <v>69</v>
      </c>
      <c r="L4" s="702" t="s">
        <v>70</v>
      </c>
    </row>
    <row r="5" spans="1:12" ht="12.75" x14ac:dyDescent="0.2">
      <c r="A5" s="704"/>
      <c r="B5" s="705"/>
      <c r="C5" s="706" t="s">
        <v>193</v>
      </c>
      <c r="D5" s="552" t="s">
        <v>194</v>
      </c>
      <c r="E5" s="707" t="s">
        <v>195</v>
      </c>
      <c r="F5" s="708"/>
      <c r="G5" s="709" t="s">
        <v>196</v>
      </c>
      <c r="H5" s="552" t="s">
        <v>197</v>
      </c>
      <c r="I5" s="707" t="s">
        <v>217</v>
      </c>
      <c r="K5" s="709" t="s">
        <v>627</v>
      </c>
      <c r="L5" s="707" t="s">
        <v>628</v>
      </c>
    </row>
    <row r="6" spans="1:12" ht="12.75" x14ac:dyDescent="0.2">
      <c r="A6" s="710" t="e">
        <f>#REF!</f>
        <v>#REF!</v>
      </c>
      <c r="B6" s="668" t="e">
        <f>#REF!</f>
        <v>#REF!</v>
      </c>
      <c r="C6" s="711">
        <f>'t2'!C6</f>
        <v>5.16</v>
      </c>
      <c r="D6" s="712">
        <f>'t2'!D6</f>
        <v>21.5</v>
      </c>
      <c r="E6" s="713">
        <f t="shared" ref="E6:E11" si="0">SUM(C6:D6)</f>
        <v>26.66</v>
      </c>
      <c r="F6" s="708"/>
      <c r="G6" s="714">
        <f>t2A!D12+t2A!F12+t2A!H12+t2A!J12+t2A!L13+t2A!N13+t2A!P13+t2A!R13</f>
        <v>7</v>
      </c>
      <c r="H6" s="715">
        <f>t2A!E12+t2A!G12+t2A!I12+t2A!K12+t2A!M13+t2A!O13+t2A!Q13+t2A!S13</f>
        <v>20</v>
      </c>
      <c r="I6" s="716">
        <f t="shared" ref="I6:I11" si="1">SUM(G6:H6)</f>
        <v>27</v>
      </c>
      <c r="K6" s="717" t="str">
        <f t="shared" ref="K6:L10" si="2">IF(C6&gt;0,IF(G6&gt;0,"OK","Manca T2A"),IF(C6=0,IF(G6=0,"OK","Manca T2"),"orrore"))</f>
        <v>OK</v>
      </c>
      <c r="L6" s="718" t="str">
        <f t="shared" si="2"/>
        <v>OK</v>
      </c>
    </row>
    <row r="7" spans="1:12" ht="12.75" x14ac:dyDescent="0.2">
      <c r="A7" s="710" t="e">
        <f>#REF!</f>
        <v>#REF!</v>
      </c>
      <c r="B7" s="668" t="e">
        <f>#REF!</f>
        <v>#REF!</v>
      </c>
      <c r="C7" s="711">
        <f>'t2'!C7</f>
        <v>15.41</v>
      </c>
      <c r="D7" s="712">
        <f>'t2'!D7</f>
        <v>23.66</v>
      </c>
      <c r="E7" s="713">
        <f t="shared" si="0"/>
        <v>39.07</v>
      </c>
      <c r="F7" s="708"/>
      <c r="G7" s="714">
        <f>t2A!D13+t2A!F13+t2A!H13+t2A!J13+t2A!L14+t2A!N14+t2A!P14+t2A!R14</f>
        <v>14</v>
      </c>
      <c r="H7" s="715">
        <f>t2A!E13+t2A!G13+t2A!I13+t2A!K13+t2A!M14+t2A!O14+t2A!Q14+t2A!S14</f>
        <v>16</v>
      </c>
      <c r="I7" s="716">
        <f t="shared" si="1"/>
        <v>30</v>
      </c>
      <c r="K7" s="717" t="str">
        <f t="shared" si="2"/>
        <v>OK</v>
      </c>
      <c r="L7" s="718" t="str">
        <f t="shared" si="2"/>
        <v>OK</v>
      </c>
    </row>
    <row r="8" spans="1:12" ht="12.75" x14ac:dyDescent="0.2">
      <c r="A8" s="710" t="e">
        <f>#REF!</f>
        <v>#REF!</v>
      </c>
      <c r="B8" s="668" t="e">
        <f>#REF!</f>
        <v>#REF!</v>
      </c>
      <c r="C8" s="711">
        <f>'t2'!C8</f>
        <v>8.15</v>
      </c>
      <c r="D8" s="712">
        <f>'t2'!D8</f>
        <v>6.33</v>
      </c>
      <c r="E8" s="713">
        <f t="shared" si="0"/>
        <v>14.48</v>
      </c>
      <c r="F8" s="708"/>
      <c r="G8" s="714">
        <f>t2A!D14+t2A!F14+t2A!H14+t2A!J14+t2A!L15+t2A!N15+t2A!P15+t2A!R15</f>
        <v>12</v>
      </c>
      <c r="H8" s="715">
        <f>t2A!E14+t2A!G14+t2A!I14+t2A!K14+t2A!M15+t2A!O15+t2A!Q15+t2A!S15</f>
        <v>22</v>
      </c>
      <c r="I8" s="716">
        <f t="shared" si="1"/>
        <v>34</v>
      </c>
      <c r="K8" s="717" t="str">
        <f t="shared" si="2"/>
        <v>OK</v>
      </c>
      <c r="L8" s="718" t="str">
        <f t="shared" si="2"/>
        <v>OK</v>
      </c>
    </row>
    <row r="9" spans="1:12" ht="12.75" x14ac:dyDescent="0.2">
      <c r="A9" s="710" t="e">
        <f>#REF!</f>
        <v>#REF!</v>
      </c>
      <c r="B9" s="668" t="e">
        <f>#REF!</f>
        <v>#REF!</v>
      </c>
      <c r="C9" s="711">
        <f>'t2'!C9</f>
        <v>0</v>
      </c>
      <c r="D9" s="712">
        <f>'t2'!D9</f>
        <v>0</v>
      </c>
      <c r="E9" s="713">
        <f t="shared" si="0"/>
        <v>0</v>
      </c>
      <c r="F9" s="708"/>
      <c r="G9" s="714">
        <f>t2A!D15+t2A!F15+t2A!H15+t2A!J15+t2A!L16+t2A!N16+t2A!P16+t2A!R16</f>
        <v>0</v>
      </c>
      <c r="H9" s="715">
        <f>t2A!E15+t2A!G15+t2A!I15+t2A!K15+t2A!M16+t2A!O16+t2A!Q16+t2A!S16</f>
        <v>0</v>
      </c>
      <c r="I9" s="716">
        <f t="shared" si="1"/>
        <v>0</v>
      </c>
      <c r="K9" s="717" t="str">
        <f t="shared" si="2"/>
        <v>OK</v>
      </c>
      <c r="L9" s="718" t="str">
        <f t="shared" si="2"/>
        <v>OK</v>
      </c>
    </row>
    <row r="10" spans="1:12" ht="13.5" thickBot="1" x14ac:dyDescent="0.25">
      <c r="A10" s="719" t="e">
        <f>#REF!</f>
        <v>#REF!</v>
      </c>
      <c r="B10" s="669" t="e">
        <f>#REF!</f>
        <v>#REF!</v>
      </c>
      <c r="C10" s="711">
        <f>'t2'!C10</f>
        <v>171.67</v>
      </c>
      <c r="D10" s="712">
        <f>'t2'!D10</f>
        <v>18.690000000000001</v>
      </c>
      <c r="E10" s="720">
        <f t="shared" si="0"/>
        <v>190.36</v>
      </c>
      <c r="F10" s="721"/>
      <c r="G10" s="722">
        <f>t2A!D16+t2A!F16+t2A!H16+t2A!J16+t2A!L17+t2A!N17+t2A!P17+t2A!R17</f>
        <v>97</v>
      </c>
      <c r="H10" s="723">
        <f>t2A!E16+t2A!G16+t2A!I16+t2A!K16+t2A!M17+t2A!O17+t2A!Q17+t2A!S17</f>
        <v>31</v>
      </c>
      <c r="I10" s="724">
        <f t="shared" si="1"/>
        <v>128</v>
      </c>
      <c r="K10" s="725" t="str">
        <f t="shared" si="2"/>
        <v>OK</v>
      </c>
      <c r="L10" s="726" t="str">
        <f t="shared" si="2"/>
        <v>OK</v>
      </c>
    </row>
    <row r="11" spans="1:12" ht="13.5" thickBot="1" x14ac:dyDescent="0.25">
      <c r="A11" s="727" t="s">
        <v>71</v>
      </c>
      <c r="B11" s="728"/>
      <c r="C11" s="729">
        <f>SUM(C6:C10)</f>
        <v>200.39</v>
      </c>
      <c r="D11" s="730">
        <f>SUM(D6:D10)</f>
        <v>70.180000000000007</v>
      </c>
      <c r="E11" s="731">
        <f t="shared" si="0"/>
        <v>270.57</v>
      </c>
      <c r="G11" s="732">
        <f>SUM(G6:G10)</f>
        <v>130</v>
      </c>
      <c r="H11" s="733">
        <f>SUM(H6:H10)</f>
        <v>89</v>
      </c>
      <c r="I11" s="734">
        <f t="shared" si="1"/>
        <v>219</v>
      </c>
      <c r="K11" s="735" t="str">
        <f>IF(COUNTIF(K6:K10,"OK")=5,"OK","Errore")</f>
        <v>OK</v>
      </c>
      <c r="L11" s="736" t="str">
        <f>IF(COUNTIF(L6:L10,"OK")=5,"OK","Errore")</f>
        <v>OK</v>
      </c>
    </row>
    <row r="12" spans="1:12" x14ac:dyDescent="0.2">
      <c r="A12" s="6"/>
    </row>
    <row r="14" spans="1:12" ht="12.75" x14ac:dyDescent="0.2">
      <c r="A14" s="1632" t="str">
        <f>IF('t2'!$AK$3=1,"La squadratura non viene calcolata perché sulla Tabella 2 è stato segnalato che il personale è cessato al 31/12","")</f>
        <v/>
      </c>
      <c r="B14" s="1632"/>
      <c r="C14" s="1632"/>
      <c r="D14" s="1632"/>
      <c r="E14" s="1632"/>
      <c r="F14" s="1632"/>
      <c r="G14" s="1632"/>
      <c r="H14" s="1632"/>
      <c r="I14" s="1632"/>
      <c r="J14" s="1632"/>
      <c r="K14" s="1632"/>
      <c r="L14" s="1632"/>
    </row>
  </sheetData>
  <sheetProtection password="DD41" sheet="1" formatColumns="0" selectLockedCells="1" selectUnlockedCells="1"/>
  <mergeCells count="6">
    <mergeCell ref="A14:L14"/>
    <mergeCell ref="A1:L1"/>
    <mergeCell ref="A2:L2"/>
    <mergeCell ref="C3:E3"/>
    <mergeCell ref="G3:I3"/>
    <mergeCell ref="K3:L3"/>
  </mergeCells>
  <dataValidations count="1">
    <dataValidation type="whole" allowBlank="1" showInputMessage="1" showErrorMessage="1" errorTitle="ERRORE" error="INSERIRE SOLO NUMERI INTERI COMPRESI TRA 0 E 9999999" sqref="G6:H11">
      <formula1>0</formula1>
      <formula2>9999999</formula2>
    </dataValidation>
  </dataValidations>
  <pageMargins left="0.7" right="0.7" top="0.75" bottom="0.75" header="0.3" footer="0.3"/>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0"/>
  <dimension ref="A1:M20"/>
  <sheetViews>
    <sheetView showGridLines="0" workbookViewId="0">
      <selection activeCell="A8" sqref="A8"/>
    </sheetView>
  </sheetViews>
  <sheetFormatPr defaultColWidth="9.33203125" defaultRowHeight="11.25" x14ac:dyDescent="0.2"/>
  <cols>
    <col min="1" max="1" width="78.6640625" style="3" customWidth="1"/>
    <col min="2" max="3" width="19.6640625" style="3" customWidth="1"/>
    <col min="4" max="4" width="26.6640625" style="3" customWidth="1"/>
    <col min="5" max="5" width="25.1640625" style="3" customWidth="1"/>
    <col min="6" max="16384" width="9.33203125" style="3"/>
  </cols>
  <sheetData>
    <row r="1" spans="1:13" ht="34.35" customHeight="1" x14ac:dyDescent="0.2">
      <c r="A1" s="1486" t="str">
        <f>'t1'!A1</f>
        <v>REGIONE VALLE D'AOSTA - anno 2024</v>
      </c>
      <c r="B1" s="1486"/>
      <c r="C1" s="1486"/>
      <c r="D1" s="1486"/>
      <c r="E1" s="605"/>
      <c r="F1" s="273"/>
      <c r="G1" s="273"/>
      <c r="H1" s="273"/>
      <c r="I1" s="273"/>
      <c r="M1"/>
    </row>
    <row r="2" spans="1:13" ht="16.5" thickBot="1" x14ac:dyDescent="0.25">
      <c r="A2" s="1644" t="s">
        <v>929</v>
      </c>
      <c r="B2" s="1644"/>
      <c r="C2" s="1644"/>
      <c r="D2" s="1644"/>
      <c r="E2" s="274"/>
      <c r="F2" s="274"/>
      <c r="G2" s="274"/>
      <c r="H2" s="274"/>
      <c r="I2" s="274"/>
      <c r="M2"/>
    </row>
    <row r="3" spans="1:13" ht="33" customHeight="1" thickBot="1" x14ac:dyDescent="0.3">
      <c r="A3" s="1641" t="s">
        <v>656</v>
      </c>
      <c r="B3" s="1642"/>
      <c r="C3" s="1642"/>
      <c r="D3" s="1643"/>
      <c r="E3" s="625"/>
    </row>
    <row r="4" spans="1:13" s="169" customFormat="1" ht="32.25" thickBot="1" x14ac:dyDescent="0.2">
      <c r="A4" s="560" t="s">
        <v>539</v>
      </c>
      <c r="B4" s="561" t="s">
        <v>540</v>
      </c>
      <c r="C4" s="561" t="s">
        <v>541</v>
      </c>
      <c r="D4" s="562" t="s">
        <v>542</v>
      </c>
    </row>
    <row r="5" spans="1:13" ht="39" customHeight="1" x14ac:dyDescent="0.2">
      <c r="A5" s="626" t="str">
        <f>SI_1!B85</f>
        <v>Non compilare</v>
      </c>
      <c r="B5" s="627">
        <f>SI_1!G85</f>
        <v>0</v>
      </c>
      <c r="C5" s="627">
        <f>'t1'!K34+'t1'!L34</f>
        <v>2563</v>
      </c>
      <c r="D5" s="790" t="str">
        <f>IF(B5&lt;=C5,"OK","Dati incoerenti: controllare i valori")</f>
        <v>OK</v>
      </c>
    </row>
    <row r="6" spans="1:13" ht="39" customHeight="1" x14ac:dyDescent="0.2">
      <c r="A6" s="628" t="str">
        <f>SI_1!B106</f>
        <v>Indicare il numero delle unita rilevate in tabella 1 che risultavano titolari di permessi per legge n. 104/92.</v>
      </c>
      <c r="B6" s="629">
        <f>SI_1!G106</f>
        <v>288</v>
      </c>
      <c r="C6" s="629">
        <f>'t1'!K34+'t1'!L34</f>
        <v>2563</v>
      </c>
      <c r="D6" s="789" t="str">
        <f>IF(B6&lt;=C6,"OK","Dati incoerenti: controllare i valori")</f>
        <v>OK</v>
      </c>
    </row>
    <row r="7" spans="1:13" ht="39" customHeight="1" thickBot="1" x14ac:dyDescent="0.25">
      <c r="A7" s="630" t="str">
        <f>SI_1!B109</f>
        <v>Indicare il numero delle unita rilevate in tabella 1 che risultavano titolari di permessi ai sensi dell'art. 42, c.5 D.lgs.151/2001.</v>
      </c>
      <c r="B7" s="631">
        <f>SI_1!G109</f>
        <v>33</v>
      </c>
      <c r="C7" s="631">
        <f>'t1'!K34+'t1'!L34</f>
        <v>2563</v>
      </c>
      <c r="D7" s="788" t="str">
        <f>IF(B7&lt;=C7,"OK","Dati incoerenti: controllare i valori")</f>
        <v>OK</v>
      </c>
    </row>
    <row r="10" spans="1:13" ht="16.5" thickBot="1" x14ac:dyDescent="0.25">
      <c r="A10" s="785" t="s">
        <v>657</v>
      </c>
      <c r="B10" s="784"/>
      <c r="C10" s="784"/>
      <c r="D10" s="784"/>
      <c r="E10" s="274"/>
      <c r="F10" s="274"/>
      <c r="G10" s="274"/>
      <c r="H10" s="274"/>
      <c r="I10" s="274"/>
      <c r="M10"/>
    </row>
    <row r="11" spans="1:13" ht="32.450000000000003" customHeight="1" thickBot="1" x14ac:dyDescent="0.3">
      <c r="A11" s="1641" t="s">
        <v>658</v>
      </c>
      <c r="B11" s="1642"/>
      <c r="C11" s="1642"/>
      <c r="D11" s="1643"/>
      <c r="E11" s="625"/>
    </row>
    <row r="12" spans="1:13" s="169" customFormat="1" ht="21.75" thickBot="1" x14ac:dyDescent="0.2">
      <c r="A12" s="632" t="s">
        <v>539</v>
      </c>
      <c r="B12" s="633" t="s">
        <v>540</v>
      </c>
      <c r="C12" s="633" t="s">
        <v>543</v>
      </c>
      <c r="D12" s="634" t="s">
        <v>544</v>
      </c>
    </row>
    <row r="13" spans="1:13" ht="39" customHeight="1" x14ac:dyDescent="0.2">
      <c r="A13" s="635" t="str">
        <f>SI_1!B106</f>
        <v>Indicare il numero delle unita rilevate in tabella 1 che risultavano titolari di permessi per legge n. 104/92.</v>
      </c>
      <c r="B13" s="636">
        <f>SI_1!G106</f>
        <v>288</v>
      </c>
      <c r="C13" s="637">
        <f>'t11'!K36+'t11'!L36</f>
        <v>5352</v>
      </c>
      <c r="D13" s="787" t="str">
        <f>(IF(AND(C13=0,B13&gt;0),"Mancano le assenze per questa causale",IF(AND(C13&gt;0,B13=0),"Dichiarare Unita nella domanda della Scheda Informativa 1","OK")))</f>
        <v>OK</v>
      </c>
    </row>
    <row r="14" spans="1:13" ht="39" customHeight="1" thickBot="1" x14ac:dyDescent="0.25">
      <c r="A14" s="638" t="str">
        <f>SI_1!B109</f>
        <v>Indicare il numero delle unita rilevate in tabella 1 che risultavano titolari di permessi ai sensi dell'art. 42, c.5 D.lgs.151/2001.</v>
      </c>
      <c r="B14" s="631">
        <f>SI_1!G109</f>
        <v>33</v>
      </c>
      <c r="C14" s="639">
        <f>'t11'!I36+'t11'!J36</f>
        <v>2446</v>
      </c>
      <c r="D14" s="788" t="str">
        <f>(IF(AND(C14=0,B14&gt;0),"Mancano le assenze per questa causale",IF(AND(C14&gt;0,B14=0),"Dichiarare Unita nella domanda della Scheda Informativa 1","OK")))</f>
        <v>OK</v>
      </c>
    </row>
    <row r="17" spans="1:13" ht="13.35" customHeight="1" thickBot="1" x14ac:dyDescent="0.3">
      <c r="A17" s="786" t="s">
        <v>659</v>
      </c>
      <c r="B17" s="784"/>
      <c r="C17" s="784"/>
      <c r="D17" s="784"/>
      <c r="E17" s="274"/>
      <c r="F17" s="274"/>
      <c r="G17" s="274"/>
      <c r="H17" s="274"/>
      <c r="I17" s="274"/>
      <c r="M17"/>
    </row>
    <row r="18" spans="1:13" ht="31.35" customHeight="1" thickBot="1" x14ac:dyDescent="0.3">
      <c r="A18" s="1641" t="s">
        <v>660</v>
      </c>
      <c r="B18" s="1642"/>
      <c r="C18" s="1642"/>
      <c r="D18" s="1643"/>
      <c r="E18" s="625"/>
    </row>
    <row r="19" spans="1:13" ht="21.75" thickBot="1" x14ac:dyDescent="0.25">
      <c r="A19" s="632" t="s">
        <v>539</v>
      </c>
      <c r="B19" s="633" t="s">
        <v>641</v>
      </c>
      <c r="C19" s="633" t="s">
        <v>543</v>
      </c>
      <c r="D19" s="634" t="s">
        <v>544</v>
      </c>
    </row>
    <row r="20" spans="1:13" ht="38.1" customHeight="1" thickBot="1" x14ac:dyDescent="0.25">
      <c r="A20" s="638" t="s">
        <v>444</v>
      </c>
      <c r="B20" s="636">
        <f>SI_1!G82</f>
        <v>7924</v>
      </c>
      <c r="C20" s="637">
        <f>'t11'!E36+'t11'!F36</f>
        <v>14154</v>
      </c>
      <c r="D20" s="787" t="str">
        <f>(IF(AND(C20=0,B20&gt;0),"Mancano le assenze per questa causale",IF(AND(C20&gt;0,B20=0),"Dichiarare Somme nella domanda della Scheda Informativa 1","OK")))</f>
        <v>OK</v>
      </c>
    </row>
  </sheetData>
  <sheetProtection password="DD41" sheet="1" formatColumns="0" selectLockedCells="1" selectUnlockedCells="1"/>
  <mergeCells count="5">
    <mergeCell ref="A1:D1"/>
    <mergeCell ref="A3:D3"/>
    <mergeCell ref="A11:D11"/>
    <mergeCell ref="A18:D18"/>
    <mergeCell ref="A2:D2"/>
  </mergeCells>
  <conditionalFormatting sqref="D5:D7 D13:D14 D20">
    <cfRule type="notContainsText" dxfId="0" priority="1" stopIfTrue="1" operator="notContains" text="ok">
      <formula>ISERROR(SEARCH("ok",D5))</formula>
    </cfRule>
  </conditionalFormatting>
  <printOptions horizontalCentered="1" verticalCentered="1"/>
  <pageMargins left="0" right="0" top="0.19685039370078741" bottom="0.31496062992125984" header="0.51181102362204722" footer="0.51181102362204722"/>
  <pageSetup paperSize="9" scale="90" orientation="landscape" horizontalDpi="300" verticalDpi="4294967292"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4">
    <pageSetUpPr fitToPage="1"/>
  </sheetPr>
  <dimension ref="A1:K33"/>
  <sheetViews>
    <sheetView showGridLines="0" workbookViewId="0">
      <pane xSplit="2" ySplit="5" topLeftCell="C6" activePane="bottomRight" state="frozen"/>
      <selection activeCell="A2" sqref="A2"/>
      <selection pane="topRight" activeCell="A2" sqref="A2"/>
      <selection pane="bottomLeft" activeCell="A2" sqref="A2"/>
      <selection pane="bottomRight" activeCell="A2" sqref="A2"/>
    </sheetView>
  </sheetViews>
  <sheetFormatPr defaultRowHeight="11.25" x14ac:dyDescent="0.2"/>
  <cols>
    <col min="1" max="1" width="41.5" style="3" customWidth="1"/>
    <col min="2" max="2" width="10" style="2" customWidth="1"/>
    <col min="3" max="3" width="11.6640625" style="2" customWidth="1"/>
    <col min="4" max="5" width="14" style="2" customWidth="1"/>
    <col min="6" max="6" width="11.6640625" style="2" customWidth="1"/>
    <col min="7" max="7" width="13.6640625" style="2" customWidth="1"/>
    <col min="8" max="8" width="16.6640625" style="2" hidden="1" customWidth="1"/>
    <col min="9" max="9" width="63.33203125" customWidth="1"/>
  </cols>
  <sheetData>
    <row r="1" spans="1:11" s="3" customFormat="1" ht="43.5" customHeight="1" x14ac:dyDescent="0.2">
      <c r="A1" s="1486" t="str">
        <f>'t1'!A1</f>
        <v>REGIONE VALLE D'AOSTA - anno 2024</v>
      </c>
      <c r="B1" s="1486"/>
      <c r="C1" s="1486"/>
      <c r="D1" s="1486"/>
      <c r="E1" s="1486"/>
      <c r="F1" s="1486"/>
      <c r="G1" s="1486"/>
      <c r="H1" s="1486"/>
      <c r="I1" s="1486"/>
      <c r="K1"/>
    </row>
    <row r="2" spans="1:11" s="3" customFormat="1" ht="12.75" customHeight="1" x14ac:dyDescent="0.2">
      <c r="D2" s="1573"/>
      <c r="E2" s="1573"/>
      <c r="F2" s="1573"/>
      <c r="G2" s="1573"/>
      <c r="H2" s="499"/>
      <c r="K2"/>
    </row>
    <row r="3" spans="1:11" s="3" customFormat="1" ht="44.1" customHeight="1" x14ac:dyDescent="0.25">
      <c r="A3" s="1645" t="s">
        <v>662</v>
      </c>
      <c r="B3" s="1645"/>
      <c r="C3" s="1645"/>
      <c r="D3" s="1645"/>
      <c r="E3" s="1645"/>
      <c r="F3" s="1645"/>
      <c r="G3" s="1645"/>
      <c r="H3" s="1645"/>
      <c r="I3" s="1645"/>
    </row>
    <row r="4" spans="1:11" ht="67.5" x14ac:dyDescent="0.15">
      <c r="A4" s="500" t="s">
        <v>229</v>
      </c>
      <c r="B4" s="501" t="s">
        <v>191</v>
      </c>
      <c r="C4" s="501" t="s">
        <v>46</v>
      </c>
      <c r="D4" s="501" t="s">
        <v>663</v>
      </c>
      <c r="E4" s="501" t="s">
        <v>664</v>
      </c>
      <c r="F4" s="501" t="s">
        <v>48</v>
      </c>
      <c r="G4" s="501" t="s">
        <v>665</v>
      </c>
      <c r="H4" s="501" t="s">
        <v>500</v>
      </c>
      <c r="I4" s="501" t="s">
        <v>478</v>
      </c>
    </row>
    <row r="5" spans="1:11" s="171" customFormat="1" ht="56.25" hidden="1" x14ac:dyDescent="0.15">
      <c r="A5" s="153"/>
      <c r="B5" s="166"/>
      <c r="C5" s="166" t="s">
        <v>193</v>
      </c>
      <c r="D5" s="166"/>
      <c r="E5" s="166"/>
      <c r="F5" s="166" t="s">
        <v>195</v>
      </c>
      <c r="G5" s="166"/>
      <c r="H5" s="552" t="s">
        <v>527</v>
      </c>
      <c r="I5" s="554"/>
    </row>
    <row r="6" spans="1:11" ht="12.75" x14ac:dyDescent="0.2">
      <c r="A6" s="112" t="str">
        <f>'t1'!A6</f>
        <v>SEGRETARIO I FASCIA</v>
      </c>
      <c r="B6" s="86" t="str">
        <f>'t1'!B6</f>
        <v>0D0102</v>
      </c>
      <c r="C6" s="791">
        <f>'t11'!Y8+'t11'!Z8</f>
        <v>0</v>
      </c>
      <c r="D6" s="791">
        <f>(C6-'t11'!S8-'t11'!T8-'t11'!W8-'t11'!X8-'t11'!Y8-'t11'!Z8)</f>
        <v>0</v>
      </c>
      <c r="E6" s="828">
        <f>'t12'!C6/12</f>
        <v>0</v>
      </c>
      <c r="F6" s="791">
        <f>'t3'!K6+'t3'!L6+'t3'!M6+'t3'!N6+'t3'!O6+'t3'!P6</f>
        <v>0</v>
      </c>
      <c r="G6" s="315" t="str">
        <f>IF(H6="OK","OK","ERRORE")</f>
        <v>OK</v>
      </c>
      <c r="H6" s="315" t="str">
        <f>IF(((E6+F6)*273)&lt;(D6),"KO","OK")</f>
        <v>OK</v>
      </c>
      <c r="I6" s="555" t="str">
        <f>IF(H6="KO",($H$5&amp;(('t12'!C6/12*273)+(('t3'!K6+'t3'!L6+'t3'!M6+'t3'!N6+'t3'!O6+'t3'!P6)*273))&amp;")"),"")</f>
        <v/>
      </c>
    </row>
    <row r="7" spans="1:11" ht="12.75" x14ac:dyDescent="0.2">
      <c r="A7" s="112" t="str">
        <f>'t1'!A7</f>
        <v>SEGRETARIO II FASCIA</v>
      </c>
      <c r="B7" s="86" t="str">
        <f>'t1'!B7</f>
        <v>0D0103</v>
      </c>
      <c r="C7" s="791">
        <f>'t11'!Y9+'t11'!Z9</f>
        <v>0</v>
      </c>
      <c r="D7" s="791">
        <f>(C7-'t11'!S9-'t11'!T9-'t11'!W9-'t11'!X9-'t11'!Y9-'t11'!Z9)</f>
        <v>0</v>
      </c>
      <c r="E7" s="828">
        <f>'t12'!C7/12</f>
        <v>0</v>
      </c>
      <c r="F7" s="791">
        <f>'t3'!K7+'t3'!L7+'t3'!M7+'t3'!N7+'t3'!O7+'t3'!P7</f>
        <v>0</v>
      </c>
      <c r="G7" s="315" t="str">
        <f>IF(H7="OK","OK","ERRORE")</f>
        <v>OK</v>
      </c>
      <c r="H7" s="315" t="str">
        <f>IF(((E7+F7)*273)&lt;(D7),"KO","OK")</f>
        <v>OK</v>
      </c>
      <c r="I7" s="555" t="str">
        <f>IF(H7="KO",($H$5&amp;(('t12'!C7/12*273)+(('t3'!K7+'t3'!L7+'t3'!M7+'t3'!N7+'t3'!O7+'t3'!P7)*273))&amp;")"),"")</f>
        <v/>
      </c>
    </row>
    <row r="8" spans="1:11" ht="12.75" x14ac:dyDescent="0.2">
      <c r="A8" s="112" t="str">
        <f>'t1'!A8</f>
        <v>SEGRETARIO III FASCIA</v>
      </c>
      <c r="B8" s="86" t="str">
        <f>'t1'!B8</f>
        <v>0D0485</v>
      </c>
      <c r="C8" s="791">
        <f>'t11'!Y10+'t11'!Z10</f>
        <v>0</v>
      </c>
      <c r="D8" s="791">
        <f>(C8-'t11'!S10-'t11'!T10-'t11'!W10-'t11'!X10-'t11'!Y10-'t11'!Z10)</f>
        <v>0</v>
      </c>
      <c r="E8" s="828">
        <f>'t12'!C8/12</f>
        <v>0</v>
      </c>
      <c r="F8" s="791">
        <f>'t3'!K8+'t3'!L8+'t3'!M8+'t3'!N8+'t3'!O8+'t3'!P8</f>
        <v>0</v>
      </c>
      <c r="G8" s="315" t="str">
        <f>IF(H8="OK","OK","ERRORE")</f>
        <v>OK</v>
      </c>
      <c r="H8" s="315" t="str">
        <f>IF(((E8+F8)*273)&lt;(D8),"KO","OK")</f>
        <v>OK</v>
      </c>
      <c r="I8" s="555" t="str">
        <f>IF(H8="KO",($H$5&amp;(('t12'!C8/12*273)+(('t3'!K8+'t3'!L8+'t3'!M8+'t3'!N8+'t3'!O8+'t3'!P8)*273))&amp;")"),"")</f>
        <v/>
      </c>
    </row>
    <row r="9" spans="1:11" ht="12.75" x14ac:dyDescent="0.2">
      <c r="A9" s="112" t="str">
        <f>'t1'!A9</f>
        <v>DIRIGENTI</v>
      </c>
      <c r="B9" s="86" t="str">
        <f>'t1'!B9</f>
        <v>0D0164</v>
      </c>
      <c r="C9" s="791">
        <f>'t11'!Y11+'t11'!Z11</f>
        <v>4171</v>
      </c>
      <c r="D9" s="791">
        <f>(C9-'t11'!S11-'t11'!T11-'t11'!W11-'t11'!X11-'t11'!Y11-'t11'!Z11)</f>
        <v>-1231</v>
      </c>
      <c r="E9" s="828">
        <f>'t12'!C9/12</f>
        <v>109.03</v>
      </c>
      <c r="F9" s="791">
        <f>'t3'!K9+'t3'!L9+'t3'!M9+'t3'!N9+'t3'!O9+'t3'!P9</f>
        <v>0</v>
      </c>
      <c r="G9" s="315" t="str">
        <f>IF(H9="OK","OK","ERRORE")</f>
        <v>OK</v>
      </c>
      <c r="H9" s="315" t="str">
        <f>IF(((E9+F9)*273)&lt;(D9),"KO","OK")</f>
        <v>OK</v>
      </c>
      <c r="I9" s="555" t="str">
        <f>IF(H9="KO",($H$5&amp;(('t12'!C9/12*273)+(('t3'!K9+'t3'!L9+'t3'!M9+'t3'!N9+'t3'!O9+'t3'!P9)*273))&amp;")"),"")</f>
        <v/>
      </c>
    </row>
    <row r="10" spans="1:11" ht="12.75" x14ac:dyDescent="0.2">
      <c r="A10" s="112" t="str">
        <f>'t1'!A10</f>
        <v>POSIZIONE ECONOMICA D</v>
      </c>
      <c r="B10" s="86" t="str">
        <f>'t1'!B10</f>
        <v>047000</v>
      </c>
      <c r="C10" s="791">
        <f>'t11'!Y12+'t11'!Z12</f>
        <v>30241</v>
      </c>
      <c r="D10" s="791">
        <f>(C10-'t11'!S12-'t11'!T12-'t11'!W12-'t11'!X12-'t11'!Y12-'t11'!Z12)</f>
        <v>-10712</v>
      </c>
      <c r="E10" s="828">
        <f>'t12'!C10/12</f>
        <v>417.81</v>
      </c>
      <c r="F10" s="791">
        <f>'t3'!K10+'t3'!L10+'t3'!M10+'t3'!N10+'t3'!O10+'t3'!P10</f>
        <v>0</v>
      </c>
      <c r="G10" s="315" t="str">
        <f t="shared" ref="G10:G25" si="0">IF(H10="OK","OK","ERRORE")</f>
        <v>OK</v>
      </c>
      <c r="H10" s="315" t="str">
        <f t="shared" ref="H10:H25" si="1">IF(((E10+F10)*273)&lt;(D10),"KO","OK")</f>
        <v>OK</v>
      </c>
      <c r="I10" s="555" t="str">
        <f>IF(H10="KO",($H$5&amp;(('t12'!C10/12*273)+(('t3'!K10+'t3'!L10+'t3'!M10+'t3'!N10+'t3'!O10+'t3'!P10)*273))&amp;")"),"")</f>
        <v/>
      </c>
    </row>
    <row r="11" spans="1:11" ht="12.75" x14ac:dyDescent="0.2">
      <c r="A11" s="112" t="str">
        <f>'t1'!A11</f>
        <v>POSIZIONE ECONOMICA D - FORESTALE</v>
      </c>
      <c r="B11" s="86" t="str">
        <f>'t1'!B11</f>
        <v>047FOR</v>
      </c>
      <c r="C11" s="791">
        <f>'t11'!Y13+'t11'!Z13</f>
        <v>0</v>
      </c>
      <c r="D11" s="791">
        <f>(C11-'t11'!S13-'t11'!T13-'t11'!W13-'t11'!X13-'t11'!Y13-'t11'!Z13)</f>
        <v>0</v>
      </c>
      <c r="E11" s="828">
        <f>'t12'!C11/12</f>
        <v>0</v>
      </c>
      <c r="F11" s="791">
        <f>'t3'!K11+'t3'!L11+'t3'!M11+'t3'!N11+'t3'!O11+'t3'!P11</f>
        <v>0</v>
      </c>
      <c r="G11" s="315" t="str">
        <f t="shared" si="0"/>
        <v>OK</v>
      </c>
      <c r="H11" s="315" t="str">
        <f t="shared" si="1"/>
        <v>OK</v>
      </c>
      <c r="I11" s="555" t="str">
        <f>IF(H11="KO",($H$5&amp;(('t12'!C11/12*273)+(('t3'!K11+'t3'!L11+'t3'!M11+'t3'!N11+'t3'!O11+'t3'!P11)*273))&amp;")"),"")</f>
        <v/>
      </c>
    </row>
    <row r="12" spans="1:11" ht="12.75" x14ac:dyDescent="0.2">
      <c r="A12" s="112" t="str">
        <f>'t1'!A12</f>
        <v>POSIZIONE ECONOMICA D  ISPETTORE ANTINCENDI DIRETTORE-VVFF</v>
      </c>
      <c r="B12" s="86" t="str">
        <f>'t1'!B12</f>
        <v>047IS3</v>
      </c>
      <c r="C12" s="791">
        <f>'t11'!Y14+'t11'!Z14</f>
        <v>0</v>
      </c>
      <c r="D12" s="791">
        <f>(C12-'t11'!S14-'t11'!T14-'t11'!W14-'t11'!X14-'t11'!Y14-'t11'!Z14)</f>
        <v>0</v>
      </c>
      <c r="E12" s="828">
        <f>'t12'!C12/12</f>
        <v>0.08</v>
      </c>
      <c r="F12" s="791">
        <f>'t3'!K12+'t3'!L12+'t3'!M12+'t3'!N12+'t3'!O12+'t3'!P12</f>
        <v>0</v>
      </c>
      <c r="G12" s="315" t="str">
        <f t="shared" si="0"/>
        <v>OK</v>
      </c>
      <c r="H12" s="315" t="str">
        <f t="shared" si="1"/>
        <v>OK</v>
      </c>
      <c r="I12" s="555" t="str">
        <f>IF(H12="KO",($H$5&amp;(('t12'!C12/12*273)+(('t3'!K12+'t3'!L12+'t3'!M12+'t3'!N12+'t3'!O12+'t3'!P12)*273))&amp;")"),"")</f>
        <v/>
      </c>
    </row>
    <row r="13" spans="1:11" ht="12.75" x14ac:dyDescent="0.2">
      <c r="A13" s="112" t="str">
        <f>'t1'!A13</f>
        <v>POSIZIONE ECONOMICA D  ISPETTORE ANTINCENDI  VVFF</v>
      </c>
      <c r="B13" s="86" t="str">
        <f>'t1'!B13</f>
        <v>047IS2</v>
      </c>
      <c r="C13" s="791">
        <f>'t11'!Y15+'t11'!Z15</f>
        <v>180</v>
      </c>
      <c r="D13" s="791">
        <f>(C13-'t11'!S15-'t11'!T15-'t11'!W15-'t11'!X15-'t11'!Y15-'t11'!Z15)</f>
        <v>0</v>
      </c>
      <c r="E13" s="828">
        <f>'t12'!C13/12</f>
        <v>3.92</v>
      </c>
      <c r="F13" s="791">
        <f>'t3'!K13+'t3'!L13+'t3'!M13+'t3'!N13+'t3'!O13+'t3'!P13</f>
        <v>0</v>
      </c>
      <c r="G13" s="315" t="str">
        <f t="shared" si="0"/>
        <v>OK</v>
      </c>
      <c r="H13" s="315" t="str">
        <f t="shared" si="1"/>
        <v>OK</v>
      </c>
      <c r="I13" s="555" t="str">
        <f>IF(H13="KO",($H$5&amp;(('t12'!C13/12*273)+(('t3'!K13+'t3'!L13+'t3'!M13+'t3'!N13+'t3'!O13+'t3'!P13)*273))&amp;")"),"")</f>
        <v/>
      </c>
    </row>
    <row r="14" spans="1:11" ht="12.75" x14ac:dyDescent="0.2">
      <c r="A14" s="112" t="str">
        <f>'t1'!A14</f>
        <v>POSIZIONE ECONOMICA C2</v>
      </c>
      <c r="B14" s="86" t="str">
        <f>'t1'!B14</f>
        <v>042000</v>
      </c>
      <c r="C14" s="791">
        <f>'t11'!Y16+'t11'!Z16</f>
        <v>44282</v>
      </c>
      <c r="D14" s="791">
        <f>(C14-'t11'!S16-'t11'!T16-'t11'!W16-'t11'!X16-'t11'!Y16-'t11'!Z16)</f>
        <v>-13591</v>
      </c>
      <c r="E14" s="828">
        <f>'t12'!C14/12</f>
        <v>652.41999999999996</v>
      </c>
      <c r="F14" s="791">
        <f>'t3'!K14+'t3'!L14+'t3'!M14+'t3'!N14+'t3'!O14+'t3'!P14</f>
        <v>0</v>
      </c>
      <c r="G14" s="315" t="str">
        <f t="shared" si="0"/>
        <v>OK</v>
      </c>
      <c r="H14" s="315" t="str">
        <f t="shared" si="1"/>
        <v>OK</v>
      </c>
      <c r="I14" s="555" t="str">
        <f>IF(H14="KO",($H$5&amp;(('t12'!C14/12*273)+(('t3'!K14+'t3'!L14+'t3'!M14+'t3'!N14+'t3'!O14+'t3'!P14)*273))&amp;")"),"")</f>
        <v/>
      </c>
    </row>
    <row r="15" spans="1:11" ht="12.75" x14ac:dyDescent="0.2">
      <c r="A15" s="112" t="str">
        <f>'t1'!A15</f>
        <v>POSIZIONE ECONOMICA C1</v>
      </c>
      <c r="B15" s="86" t="str">
        <f>'t1'!B15</f>
        <v>040000</v>
      </c>
      <c r="C15" s="791">
        <f>'t11'!Y17+'t11'!Z17</f>
        <v>1753</v>
      </c>
      <c r="D15" s="791">
        <f>(C15-'t11'!S17-'t11'!T17-'t11'!W17-'t11'!X17-'t11'!Y17-'t11'!Z17)</f>
        <v>-464</v>
      </c>
      <c r="E15" s="828">
        <f>'t12'!C15/12</f>
        <v>25.11</v>
      </c>
      <c r="F15" s="791">
        <f>'t3'!K15+'t3'!L15+'t3'!M15+'t3'!N15+'t3'!O15+'t3'!P15</f>
        <v>0</v>
      </c>
      <c r="G15" s="315" t="str">
        <f t="shared" si="0"/>
        <v>OK</v>
      </c>
      <c r="H15" s="315" t="str">
        <f t="shared" si="1"/>
        <v>OK</v>
      </c>
      <c r="I15" s="555" t="str">
        <f>IF(H15="KO",($H$5&amp;(('t12'!C15/12*273)+(('t3'!K15+'t3'!L15+'t3'!M15+'t3'!N15+'t3'!O15+'t3'!P15)*273))&amp;")"),"")</f>
        <v/>
      </c>
    </row>
    <row r="16" spans="1:11" ht="12.75" x14ac:dyDescent="0.2">
      <c r="A16" s="112" t="str">
        <f>'t1'!A16</f>
        <v>ISPETTORE FORESTALE C21F</v>
      </c>
      <c r="B16" s="86" t="str">
        <f>'t1'!B16</f>
        <v>042324</v>
      </c>
      <c r="C16" s="791">
        <f>'t11'!Y18+'t11'!Z18</f>
        <v>758</v>
      </c>
      <c r="D16" s="791">
        <f>(C16-'t11'!S18-'t11'!T18-'t11'!W18-'t11'!X18-'t11'!Y18-'t11'!Z18)</f>
        <v>-262</v>
      </c>
      <c r="E16" s="828">
        <f>'t12'!C16/12</f>
        <v>17.93</v>
      </c>
      <c r="F16" s="791">
        <f>'t3'!K16+'t3'!L16+'t3'!M16+'t3'!N16+'t3'!O16+'t3'!P16</f>
        <v>0</v>
      </c>
      <c r="G16" s="315" t="str">
        <f t="shared" si="0"/>
        <v>OK</v>
      </c>
      <c r="H16" s="315" t="str">
        <f t="shared" si="1"/>
        <v>OK</v>
      </c>
      <c r="I16" s="555" t="str">
        <f>IF(H16="KO",($H$5&amp;(('t12'!C16/12*273)+(('t3'!K16+'t3'!L16+'t3'!M16+'t3'!N16+'t3'!O16+'t3'!P16)*273))&amp;")"),"")</f>
        <v/>
      </c>
    </row>
    <row r="17" spans="1:9" ht="12.75" x14ac:dyDescent="0.2">
      <c r="A17" s="112" t="str">
        <f>'t1'!A17</f>
        <v>SOVRAINTENDENTE C1F</v>
      </c>
      <c r="B17" s="86" t="str">
        <f>'t1'!B17</f>
        <v>040211</v>
      </c>
      <c r="C17" s="791">
        <f>'t11'!Y19+'t11'!Z19</f>
        <v>900</v>
      </c>
      <c r="D17" s="791">
        <f>(C17-'t11'!S19-'t11'!T19-'t11'!W19-'t11'!X19-'t11'!Y19-'t11'!Z19)</f>
        <v>-10</v>
      </c>
      <c r="E17" s="828">
        <f>'t12'!C17/12</f>
        <v>21.45</v>
      </c>
      <c r="F17" s="791">
        <f>'t3'!K17+'t3'!L17+'t3'!M17+'t3'!N17+'t3'!O17+'t3'!P17</f>
        <v>0</v>
      </c>
      <c r="G17" s="315" t="str">
        <f t="shared" si="0"/>
        <v>OK</v>
      </c>
      <c r="H17" s="315" t="str">
        <f t="shared" si="1"/>
        <v>OK</v>
      </c>
      <c r="I17" s="555" t="str">
        <f>IF(H17="KO",($H$5&amp;(('t12'!C17/12*273)+(('t3'!K17+'t3'!L17+'t3'!M17+'t3'!N17+'t3'!O17+'t3'!P17)*273))&amp;")"),"")</f>
        <v/>
      </c>
    </row>
    <row r="18" spans="1:9" ht="12.75" x14ac:dyDescent="0.2">
      <c r="A18" s="112" t="str">
        <f>'t1'!A18</f>
        <v>POSIZIONE ECONOMICA C2  CAPO REPARTO  VVFF</v>
      </c>
      <c r="B18" s="86" t="str">
        <f>'t1'!B18</f>
        <v>042CR1</v>
      </c>
      <c r="C18" s="791">
        <f>'t11'!Y20+'t11'!Z20</f>
        <v>390</v>
      </c>
      <c r="D18" s="791">
        <f>(C18-'t11'!S20-'t11'!T20-'t11'!W20-'t11'!X20-'t11'!Y20-'t11'!Z20)</f>
        <v>0</v>
      </c>
      <c r="E18" s="828">
        <f>'t12'!C18/12</f>
        <v>11.12</v>
      </c>
      <c r="F18" s="791">
        <f>'t3'!K18+'t3'!L18+'t3'!M18+'t3'!N18+'t3'!O18+'t3'!P18</f>
        <v>0</v>
      </c>
      <c r="G18" s="315" t="str">
        <f t="shared" si="0"/>
        <v>OK</v>
      </c>
      <c r="H18" s="315" t="str">
        <f t="shared" si="1"/>
        <v>OK</v>
      </c>
      <c r="I18" s="555" t="str">
        <f>IF(H18="KO",($H$5&amp;(('t12'!C18/12*273)+(('t3'!K18+'t3'!L18+'t3'!M18+'t3'!N18+'t3'!O18+'t3'!P18)*273))&amp;")"),"")</f>
        <v/>
      </c>
    </row>
    <row r="19" spans="1:9" ht="12.75" x14ac:dyDescent="0.2">
      <c r="A19" s="112" t="str">
        <f>'t1'!A19</f>
        <v>POSIZIONE ECONOMICA C2  COLLAB. TECNICO ANTINCENDI  VVFF</v>
      </c>
      <c r="B19" s="86" t="str">
        <f>'t1'!B19</f>
        <v>042CA0</v>
      </c>
      <c r="C19" s="791">
        <f>'t11'!Y21+'t11'!Z21</f>
        <v>300</v>
      </c>
      <c r="D19" s="791">
        <f>(C19-'t11'!S21-'t11'!T21-'t11'!W21-'t11'!X21-'t11'!Y21-'t11'!Z21)</f>
        <v>0</v>
      </c>
      <c r="E19" s="828">
        <f>'t12'!C19/12</f>
        <v>8</v>
      </c>
      <c r="F19" s="791">
        <f>'t3'!K19+'t3'!L19+'t3'!M19+'t3'!N19+'t3'!O19+'t3'!P19</f>
        <v>0</v>
      </c>
      <c r="G19" s="315" t="str">
        <f t="shared" si="0"/>
        <v>OK</v>
      </c>
      <c r="H19" s="315" t="str">
        <f t="shared" si="1"/>
        <v>OK</v>
      </c>
      <c r="I19" s="555" t="str">
        <f>IF(H19="KO",($H$5&amp;(('t12'!C19/12*273)+(('t3'!K19+'t3'!L19+'t3'!M19+'t3'!N19+'t3'!O19+'t3'!P19)*273))&amp;")"),"")</f>
        <v/>
      </c>
    </row>
    <row r="20" spans="1:9" ht="12.75" x14ac:dyDescent="0.2">
      <c r="A20" s="112" t="str">
        <f>'t1'!A20</f>
        <v>POSIZIONE ECONOMICA C1  CAPO SQUADRA  VVFF</v>
      </c>
      <c r="B20" s="86" t="str">
        <f>'t1'!B20</f>
        <v>040CS1</v>
      </c>
      <c r="C20" s="791">
        <f>'t11'!Y22+'t11'!Z22</f>
        <v>1049</v>
      </c>
      <c r="D20" s="791">
        <f>(C20-'t11'!S22-'t11'!T22-'t11'!W22-'t11'!X22-'t11'!Y22-'t11'!Z22)</f>
        <v>-272</v>
      </c>
      <c r="E20" s="828">
        <f>'t12'!C20/12</f>
        <v>30.49</v>
      </c>
      <c r="F20" s="791">
        <f>'t3'!K20+'t3'!L20+'t3'!M20+'t3'!N20+'t3'!O20+'t3'!P20</f>
        <v>0</v>
      </c>
      <c r="G20" s="315" t="str">
        <f t="shared" si="0"/>
        <v>OK</v>
      </c>
      <c r="H20" s="315" t="str">
        <f t="shared" si="1"/>
        <v>OK</v>
      </c>
      <c r="I20" s="555" t="str">
        <f>IF(H20="KO",($H$5&amp;(('t12'!C20/12*273)+(('t3'!K20+'t3'!L20+'t3'!M20+'t3'!N20+'t3'!O20+'t3'!P20)*273))&amp;")"),"")</f>
        <v/>
      </c>
    </row>
    <row r="21" spans="1:9" ht="12.75" x14ac:dyDescent="0.2">
      <c r="A21" s="112" t="str">
        <f>'t1'!A21</f>
        <v>POSIZIONE ECONOMICA B3</v>
      </c>
      <c r="B21" s="86" t="str">
        <f>'t1'!B21</f>
        <v>034000</v>
      </c>
      <c r="C21" s="791">
        <f>'t11'!Y23+'t11'!Z23</f>
        <v>555</v>
      </c>
      <c r="D21" s="791">
        <f>(C21-'t11'!S23-'t11'!T23-'t11'!W23-'t11'!X23-'t11'!Y23-'t11'!Z23)</f>
        <v>0</v>
      </c>
      <c r="E21" s="828">
        <f>'t12'!C21/12</f>
        <v>12</v>
      </c>
      <c r="F21" s="791">
        <f>'t3'!K21+'t3'!L21+'t3'!M21+'t3'!N21+'t3'!O21+'t3'!P21</f>
        <v>0</v>
      </c>
      <c r="G21" s="315" t="str">
        <f t="shared" si="0"/>
        <v>OK</v>
      </c>
      <c r="H21" s="315" t="str">
        <f t="shared" si="1"/>
        <v>OK</v>
      </c>
      <c r="I21" s="555" t="str">
        <f>IF(H21="KO",($H$5&amp;(('t12'!C21/12*273)+(('t3'!K21+'t3'!L21+'t3'!M21+'t3'!N21+'t3'!O21+'t3'!P21)*273))&amp;")"),"")</f>
        <v/>
      </c>
    </row>
    <row r="22" spans="1:9" ht="12.75" x14ac:dyDescent="0.2">
      <c r="A22" s="112" t="str">
        <f>'t1'!A22</f>
        <v>POSIZIONE ECONOMICA B2S</v>
      </c>
      <c r="B22" s="86" t="str">
        <f>'t1'!B22</f>
        <v>033000</v>
      </c>
      <c r="C22" s="791">
        <f>'t11'!Y24+'t11'!Z24</f>
        <v>248</v>
      </c>
      <c r="D22" s="791">
        <f>(C22-'t11'!S24-'t11'!T24-'t11'!W24-'t11'!X24-'t11'!Y24-'t11'!Z24)</f>
        <v>-1</v>
      </c>
      <c r="E22" s="828">
        <f>'t12'!C22/12</f>
        <v>4.83</v>
      </c>
      <c r="F22" s="791">
        <f>'t3'!K22+'t3'!L22+'t3'!M22+'t3'!N22+'t3'!O22+'t3'!P22</f>
        <v>0</v>
      </c>
      <c r="G22" s="315" t="str">
        <f t="shared" si="0"/>
        <v>OK</v>
      </c>
      <c r="H22" s="315" t="str">
        <f t="shared" si="1"/>
        <v>OK</v>
      </c>
      <c r="I22" s="555" t="str">
        <f>IF(H22="KO",($H$5&amp;(('t12'!C22/12*273)+(('t3'!K22+'t3'!L22+'t3'!M22+'t3'!N22+'t3'!O22+'t3'!P22)*273))&amp;")"),"")</f>
        <v/>
      </c>
    </row>
    <row r="23" spans="1:9" ht="12.75" x14ac:dyDescent="0.2">
      <c r="A23" s="112" t="str">
        <f>'t1'!A23</f>
        <v>POSIZIONE ECONOMICA B2</v>
      </c>
      <c r="B23" s="86" t="str">
        <f>'t1'!B23</f>
        <v>032000</v>
      </c>
      <c r="C23" s="791">
        <f>'t11'!Y25+'t11'!Z25</f>
        <v>33408</v>
      </c>
      <c r="D23" s="791">
        <f>(C23-'t11'!S25-'t11'!T25-'t11'!W25-'t11'!X25-'t11'!Y25-'t11'!Z25)</f>
        <v>-6709</v>
      </c>
      <c r="E23" s="828">
        <f>'t12'!C23/12</f>
        <v>512.24</v>
      </c>
      <c r="F23" s="791">
        <f>'t3'!K23+'t3'!L23+'t3'!M23+'t3'!N23+'t3'!O23+'t3'!P23</f>
        <v>0</v>
      </c>
      <c r="G23" s="315" t="str">
        <f t="shared" si="0"/>
        <v>OK</v>
      </c>
      <c r="H23" s="315" t="str">
        <f t="shared" si="1"/>
        <v>OK</v>
      </c>
      <c r="I23" s="555" t="str">
        <f>IF(H23="KO",($H$5&amp;(('t12'!C23/12*273)+(('t3'!K23+'t3'!L23+'t3'!M23+'t3'!N23+'t3'!O23+'t3'!P23)*273))&amp;")"),"")</f>
        <v/>
      </c>
    </row>
    <row r="24" spans="1:9" ht="12.75" x14ac:dyDescent="0.2">
      <c r="A24" s="112" t="str">
        <f>'t1'!A24</f>
        <v>POSIZIONE ECONOMICA B1</v>
      </c>
      <c r="B24" s="86" t="str">
        <f>'t1'!B24</f>
        <v>030000</v>
      </c>
      <c r="C24" s="791">
        <f>'t11'!Y26+'t11'!Z26</f>
        <v>1161</v>
      </c>
      <c r="D24" s="791">
        <f>(C24-'t11'!S26-'t11'!T26-'t11'!W26-'t11'!X26-'t11'!Y26-'t11'!Z26)</f>
        <v>-31</v>
      </c>
      <c r="E24" s="828">
        <f>'t12'!C24/12</f>
        <v>23.74</v>
      </c>
      <c r="F24" s="791">
        <f>'t3'!K24+'t3'!L24+'t3'!M24+'t3'!N24+'t3'!O24+'t3'!P24</f>
        <v>0</v>
      </c>
      <c r="G24" s="315" t="str">
        <f t="shared" si="0"/>
        <v>OK</v>
      </c>
      <c r="H24" s="315" t="str">
        <f t="shared" si="1"/>
        <v>OK</v>
      </c>
      <c r="I24" s="555" t="str">
        <f>IF(H24="KO",($H$5&amp;(('t12'!C24/12*273)+(('t3'!K24+'t3'!L24+'t3'!M24+'t3'!N24+'t3'!O24+'t3'!P24)*273))&amp;")"),"")</f>
        <v/>
      </c>
    </row>
    <row r="25" spans="1:9" ht="12.75" x14ac:dyDescent="0.2">
      <c r="A25" s="112" t="str">
        <f>'t1'!A25</f>
        <v>POS. EC. B3-GUARDIA  FORESTALE 5 A.</v>
      </c>
      <c r="B25" s="86" t="str">
        <f>'t1'!B25</f>
        <v>034561</v>
      </c>
      <c r="C25" s="791">
        <f>'t11'!Y27+'t11'!Z27</f>
        <v>1624</v>
      </c>
      <c r="D25" s="791">
        <f>(C25-'t11'!S27-'t11'!T27-'t11'!W27-'t11'!X27-'t11'!Y27-'t11'!Z27)</f>
        <v>-26</v>
      </c>
      <c r="E25" s="828">
        <f>'t12'!C25/12</f>
        <v>44.01</v>
      </c>
      <c r="F25" s="791">
        <f>'t3'!K25+'t3'!L25+'t3'!M25+'t3'!N25+'t3'!O25+'t3'!P25</f>
        <v>0</v>
      </c>
      <c r="G25" s="315" t="str">
        <f t="shared" si="0"/>
        <v>OK</v>
      </c>
      <c r="H25" s="315" t="str">
        <f t="shared" si="1"/>
        <v>OK</v>
      </c>
      <c r="I25" s="555" t="str">
        <f>IF(H25="KO",($H$5&amp;(('t12'!C25/12*273)+(('t3'!K25+'t3'!L25+'t3'!M25+'t3'!N25+'t3'!O25+'t3'!P25)*273))&amp;")"),"")</f>
        <v/>
      </c>
    </row>
    <row r="26" spans="1:9" ht="12.75" x14ac:dyDescent="0.2">
      <c r="A26" s="112" t="str">
        <f>'t1'!A26</f>
        <v>POS. EC. B2-GUARDIA  FORESTALE</v>
      </c>
      <c r="B26" s="86" t="str">
        <f>'t1'!B26</f>
        <v>032561</v>
      </c>
      <c r="C26" s="791">
        <f>'t11'!Y28+'t11'!Z28</f>
        <v>1201</v>
      </c>
      <c r="D26" s="791">
        <f>(C26-'t11'!S28-'t11'!T28-'t11'!W28-'t11'!X28-'t11'!Y28-'t11'!Z28)</f>
        <v>-21</v>
      </c>
      <c r="E26" s="828">
        <f>'t12'!C26/12</f>
        <v>19.260000000000002</v>
      </c>
      <c r="F26" s="791">
        <f>'t3'!K26+'t3'!L26+'t3'!M26+'t3'!N26+'t3'!O26+'t3'!P26</f>
        <v>0</v>
      </c>
      <c r="G26" s="315" t="str">
        <f t="shared" ref="G26:G33" si="2">IF(H26="OK","OK","ERRORE")</f>
        <v>OK</v>
      </c>
      <c r="H26" s="315" t="str">
        <f t="shared" ref="H26:H33" si="3">IF(((E26+F26)*273)&lt;(D26),"KO","OK")</f>
        <v>OK</v>
      </c>
      <c r="I26" s="555" t="str">
        <f>IF(H26="KO",($H$5&amp;(('t12'!C26/12*273)+(('t3'!K26+'t3'!L26+'t3'!M26+'t3'!N26+'t3'!O26+'t3'!P26)*273))&amp;")"),"")</f>
        <v/>
      </c>
    </row>
    <row r="27" spans="1:9" ht="12.75" x14ac:dyDescent="0.2">
      <c r="A27" s="112" t="str">
        <f>'t1'!A27</f>
        <v>POSIZIONE ECONOMICA B1 - FORESTALE</v>
      </c>
      <c r="B27" s="86" t="str">
        <f>'t1'!B27</f>
        <v>030FOR</v>
      </c>
      <c r="C27" s="791">
        <f>'t11'!Y29+'t11'!Z29</f>
        <v>0</v>
      </c>
      <c r="D27" s="791">
        <f>(C27-'t11'!S29-'t11'!T29-'t11'!W29-'t11'!X29-'t11'!Y29-'t11'!Z29)</f>
        <v>0</v>
      </c>
      <c r="E27" s="828">
        <f>'t12'!C27/12</f>
        <v>0</v>
      </c>
      <c r="F27" s="791">
        <f>'t3'!K27+'t3'!L27+'t3'!M27+'t3'!N27+'t3'!O27+'t3'!P27</f>
        <v>0</v>
      </c>
      <c r="G27" s="315" t="str">
        <f t="shared" si="2"/>
        <v>OK</v>
      </c>
      <c r="H27" s="315" t="str">
        <f t="shared" si="3"/>
        <v>OK</v>
      </c>
      <c r="I27" s="555" t="str">
        <f>IF(H27="KO",($H$5&amp;(('t12'!C27/12*273)+(('t3'!K27+'t3'!L27+'t3'!M27+'t3'!N27+'t3'!O27+'t3'!P27)*273))&amp;")"),"")</f>
        <v/>
      </c>
    </row>
    <row r="28" spans="1:9" ht="12.75" x14ac:dyDescent="0.2">
      <c r="A28" s="112" t="str">
        <f>'t1'!A28</f>
        <v>POSIZIONE ECONOMICA B3  VIGILE DEL FUOCO &gt; 5 ANNI</v>
      </c>
      <c r="B28" s="86" t="str">
        <f>'t1'!B28</f>
        <v>034VF5</v>
      </c>
      <c r="C28" s="791">
        <f>'t11'!Y30+'t11'!Z30</f>
        <v>2272</v>
      </c>
      <c r="D28" s="791">
        <f>(C28-'t11'!S30-'t11'!T30-'t11'!W30-'t11'!X30-'t11'!Y30-'t11'!Z30)</f>
        <v>-1</v>
      </c>
      <c r="E28" s="828">
        <f>'t12'!C28/12</f>
        <v>93.34</v>
      </c>
      <c r="F28" s="791">
        <f>'t3'!K28+'t3'!L28+'t3'!M28+'t3'!N28+'t3'!O28+'t3'!P28</f>
        <v>0</v>
      </c>
      <c r="G28" s="315" t="str">
        <f t="shared" si="2"/>
        <v>OK</v>
      </c>
      <c r="H28" s="315" t="str">
        <f t="shared" si="3"/>
        <v>OK</v>
      </c>
      <c r="I28" s="555" t="str">
        <f>IF(H28="KO",($H$5&amp;(('t12'!C28/12*273)+(('t3'!K28+'t3'!L28+'t3'!M28+'t3'!N28+'t3'!O28+'t3'!P28)*273))&amp;")"),"")</f>
        <v/>
      </c>
    </row>
    <row r="29" spans="1:9" ht="12.75" x14ac:dyDescent="0.2">
      <c r="A29" s="112" t="str">
        <f>'t1'!A29</f>
        <v>POSIZIONE ECONOMICA B2  VIGILE DEL FUOCO</v>
      </c>
      <c r="B29" s="86" t="str">
        <f>'t1'!B29</f>
        <v>032VF1</v>
      </c>
      <c r="C29" s="791">
        <f>'t11'!Y31+'t11'!Z31</f>
        <v>952</v>
      </c>
      <c r="D29" s="791">
        <f>(C29-'t11'!S31-'t11'!T31-'t11'!W31-'t11'!X31-'t11'!Y31-'t11'!Z31)</f>
        <v>0</v>
      </c>
      <c r="E29" s="828">
        <f>'t12'!C29/12</f>
        <v>24.46</v>
      </c>
      <c r="F29" s="791">
        <f>'t3'!K29+'t3'!L29+'t3'!M29+'t3'!N29+'t3'!O29+'t3'!P29</f>
        <v>0</v>
      </c>
      <c r="G29" s="315" t="str">
        <f t="shared" si="2"/>
        <v>OK</v>
      </c>
      <c r="H29" s="315" t="str">
        <f t="shared" si="3"/>
        <v>OK</v>
      </c>
      <c r="I29" s="555" t="str">
        <f>IF(H29="KO",($H$5&amp;(('t12'!C29/12*273)+(('t3'!K29+'t3'!L29+'t3'!M29+'t3'!N29+'t3'!O29+'t3'!P29)*273))&amp;")"),"")</f>
        <v/>
      </c>
    </row>
    <row r="30" spans="1:9" ht="12.75" x14ac:dyDescent="0.2">
      <c r="A30" s="112" t="str">
        <f>'t1'!A30</f>
        <v>POSIZIONE ECONOMICA A</v>
      </c>
      <c r="B30" s="86" t="str">
        <f>'t1'!B30</f>
        <v>022000</v>
      </c>
      <c r="C30" s="791">
        <f>'t11'!Y32+'t11'!Z32</f>
        <v>14975</v>
      </c>
      <c r="D30" s="791">
        <f>(C30-'t11'!S32-'t11'!T32-'t11'!W32-'t11'!X32-'t11'!Y32-'t11'!Z32)</f>
        <v>-379</v>
      </c>
      <c r="E30" s="828">
        <f>'t12'!C30/12</f>
        <v>210.89</v>
      </c>
      <c r="F30" s="791">
        <f>'t3'!K30+'t3'!L30+'t3'!M30+'t3'!N30+'t3'!O30+'t3'!P30</f>
        <v>0</v>
      </c>
      <c r="G30" s="315" t="str">
        <f t="shared" si="2"/>
        <v>OK</v>
      </c>
      <c r="H30" s="315" t="str">
        <f t="shared" si="3"/>
        <v>OK</v>
      </c>
      <c r="I30" s="555" t="str">
        <f>IF(H30="KO",($H$5&amp;(('t12'!C30/12*273)+(('t3'!K30+'t3'!L30+'t3'!M30+'t3'!N30+'t3'!O30+'t3'!P30)*273))&amp;")"),"")</f>
        <v/>
      </c>
    </row>
    <row r="31" spans="1:9" ht="12.75" x14ac:dyDescent="0.2">
      <c r="A31" s="112" t="str">
        <f>'t1'!A31</f>
        <v>CONTRATTISTI</v>
      </c>
      <c r="B31" s="86" t="str">
        <f>'t1'!B31</f>
        <v>000061</v>
      </c>
      <c r="C31" s="791">
        <f>'t11'!Y33+'t11'!Z33</f>
        <v>4175</v>
      </c>
      <c r="D31" s="791">
        <f>(C31-'t11'!S33-'t11'!T33-'t11'!W33-'t11'!X33-'t11'!Y33-'t11'!Z33)</f>
        <v>-73</v>
      </c>
      <c r="E31" s="828">
        <f>'t12'!C31/12</f>
        <v>123.2</v>
      </c>
      <c r="F31" s="791">
        <f>'t3'!K31+'t3'!L31+'t3'!M31+'t3'!N31+'t3'!O31+'t3'!P31</f>
        <v>0</v>
      </c>
      <c r="G31" s="315" t="str">
        <f t="shared" si="2"/>
        <v>OK</v>
      </c>
      <c r="H31" s="315" t="str">
        <f t="shared" si="3"/>
        <v>OK</v>
      </c>
      <c r="I31" s="555" t="str">
        <f>IF(H31="KO",($H$5&amp;(('t12'!C31/12*273)+(('t3'!K31+'t3'!L31+'t3'!M31+'t3'!N31+'t3'!O31+'t3'!P31)*273))&amp;")"),"")</f>
        <v/>
      </c>
    </row>
    <row r="32" spans="1:9" ht="12.75" x14ac:dyDescent="0.2">
      <c r="A32" s="112" t="str">
        <f>'t1'!A32</f>
        <v>SEGRETARIO GENERALE CCIAA</v>
      </c>
      <c r="B32" s="86" t="str">
        <f>'t1'!B32</f>
        <v>0D0104</v>
      </c>
      <c r="C32" s="791">
        <f>'t11'!Y34+'t11'!Z34</f>
        <v>0</v>
      </c>
      <c r="D32" s="791">
        <f>(C32-'t11'!S34-'t11'!T34-'t11'!W34-'t11'!X34-'t11'!Y34-'t11'!Z34)</f>
        <v>0</v>
      </c>
      <c r="E32" s="828">
        <f>'t12'!C32/12</f>
        <v>0</v>
      </c>
      <c r="F32" s="791">
        <f>'t3'!K32+'t3'!L32+'t3'!M32+'t3'!N32+'t3'!O32+'t3'!P32</f>
        <v>0</v>
      </c>
      <c r="G32" s="315" t="str">
        <f t="shared" si="2"/>
        <v>OK</v>
      </c>
      <c r="H32" s="315" t="str">
        <f t="shared" si="3"/>
        <v>OK</v>
      </c>
      <c r="I32" s="555" t="str">
        <f>IF(H32="KO",($H$5&amp;(('t12'!C32/12*273)+(('t3'!K32+'t3'!L32+'t3'!M32+'t3'!N32+'t3'!O32+'t3'!P32)*273))&amp;")"),"")</f>
        <v/>
      </c>
    </row>
    <row r="33" spans="1:9" ht="12.75" x14ac:dyDescent="0.2">
      <c r="A33" s="112" t="str">
        <f>'t1'!A33</f>
        <v>COLLABORATORE A TEMPO DETERMINATO</v>
      </c>
      <c r="B33" s="86" t="str">
        <f>'t1'!B33</f>
        <v>000096</v>
      </c>
      <c r="C33" s="791">
        <f>'t11'!Y35+'t11'!Z35</f>
        <v>218</v>
      </c>
      <c r="D33" s="791">
        <f>(C33-'t11'!S35-'t11'!T35-'t11'!W35-'t11'!X35-'t11'!Y35-'t11'!Z35)</f>
        <v>0</v>
      </c>
      <c r="E33" s="828">
        <f>'t12'!C33/12</f>
        <v>10.39</v>
      </c>
      <c r="F33" s="791">
        <f>'t3'!K33+'t3'!L33+'t3'!M33+'t3'!N33+'t3'!O33+'t3'!P33</f>
        <v>0</v>
      </c>
      <c r="G33" s="315" t="str">
        <f t="shared" si="2"/>
        <v>OK</v>
      </c>
      <c r="H33" s="315" t="str">
        <f t="shared" si="3"/>
        <v>OK</v>
      </c>
      <c r="I33" s="555" t="str">
        <f>IF(H33="KO",($H$5&amp;(('t12'!C33/12*273)+(('t3'!K33+'t3'!L33+'t3'!M33+'t3'!N33+'t3'!O33+'t3'!P33)*273))&amp;")"),"")</f>
        <v/>
      </c>
    </row>
  </sheetData>
  <sheetProtection password="DD41" sheet="1" formatColumns="0" selectLockedCells="1" selectUnlockedCells="1"/>
  <mergeCells count="3">
    <mergeCell ref="A1:I1"/>
    <mergeCell ref="D2:G2"/>
    <mergeCell ref="A3:I3"/>
  </mergeCells>
  <printOptions horizontalCentered="1"/>
  <pageMargins left="0.2" right="0.2" top="0.19685039370078741" bottom="0.15748031496062992" header="0.15748031496062992" footer="0.15748031496062992"/>
  <pageSetup paperSize="9" scale="81"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5"/>
  <dimension ref="A1:E8"/>
  <sheetViews>
    <sheetView showGridLines="0" workbookViewId="0">
      <selection activeCell="Y1" sqref="Y1"/>
    </sheetView>
  </sheetViews>
  <sheetFormatPr defaultColWidth="8.6640625" defaultRowHeight="11.25" x14ac:dyDescent="0.2"/>
  <cols>
    <col min="1" max="1" width="3" style="3" customWidth="1"/>
    <col min="2" max="2" width="5.5" style="2" customWidth="1"/>
    <col min="3" max="3" width="54.1640625" style="2" customWidth="1"/>
    <col min="4" max="5" width="40.6640625" style="2" customWidth="1"/>
    <col min="6" max="16384" width="8.6640625" style="3"/>
  </cols>
  <sheetData>
    <row r="1" spans="1:5" ht="43.5" customHeight="1" x14ac:dyDescent="0.2">
      <c r="A1" s="1155" t="str">
        <f>'t1'!A1</f>
        <v>REGIONE VALLE D'AOSTA - anno 2024</v>
      </c>
      <c r="B1" s="1155"/>
      <c r="C1" s="1155"/>
      <c r="D1" s="1155"/>
      <c r="E1" s="1155"/>
    </row>
    <row r="2" spans="1:5" ht="21" customHeight="1" x14ac:dyDescent="0.25">
      <c r="A2" s="168" t="s">
        <v>908</v>
      </c>
      <c r="B2" s="168"/>
      <c r="C2" s="168"/>
      <c r="E2" s="3"/>
    </row>
    <row r="3" spans="1:5" ht="21" customHeight="1" thickBot="1" x14ac:dyDescent="0.3">
      <c r="A3" s="1181" t="s">
        <v>909</v>
      </c>
      <c r="B3" s="168"/>
      <c r="C3" s="168"/>
    </row>
    <row r="4" spans="1:5" ht="49.5" customHeight="1" thickBot="1" x14ac:dyDescent="0.25">
      <c r="A4" s="863" t="s">
        <v>684</v>
      </c>
      <c r="B4" s="867"/>
      <c r="C4" s="868"/>
      <c r="D4" s="869" t="s">
        <v>436</v>
      </c>
      <c r="E4" s="865" t="s">
        <v>898</v>
      </c>
    </row>
    <row r="5" spans="1:5" ht="49.5" customHeight="1" thickBot="1" x14ac:dyDescent="0.25">
      <c r="A5" s="870" t="s">
        <v>686</v>
      </c>
      <c r="B5" s="864"/>
      <c r="C5" s="871"/>
      <c r="D5" s="872" t="s">
        <v>912</v>
      </c>
      <c r="E5" s="872" t="s">
        <v>912</v>
      </c>
    </row>
    <row r="6" spans="1:5" s="87" customFormat="1" ht="20.100000000000001" customHeight="1" x14ac:dyDescent="0.15">
      <c r="A6" s="1205" t="s">
        <v>899</v>
      </c>
      <c r="B6" s="1192" t="s">
        <v>910</v>
      </c>
      <c r="C6" s="1192"/>
      <c r="D6" s="1209"/>
      <c r="E6" s="1210"/>
    </row>
    <row r="7" spans="1:5" s="87" customFormat="1" ht="20.100000000000001" customHeight="1" x14ac:dyDescent="0.15">
      <c r="A7" s="1206" t="s">
        <v>901</v>
      </c>
      <c r="B7" s="1193" t="s">
        <v>913</v>
      </c>
      <c r="C7" s="1194"/>
      <c r="D7" s="1211"/>
      <c r="E7" s="1212"/>
    </row>
    <row r="8" spans="1:5" s="87" customFormat="1" ht="20.100000000000001" customHeight="1" thickBot="1" x14ac:dyDescent="0.2">
      <c r="A8" s="1207" t="s">
        <v>903</v>
      </c>
      <c r="B8" s="1208" t="s">
        <v>911</v>
      </c>
      <c r="C8" s="1208"/>
      <c r="D8" s="1213"/>
      <c r="E8" s="1214"/>
    </row>
  </sheetData>
  <sheetProtection algorithmName="SHA-512" hashValue="NF0g06ZK6A5r0QFO0vbcOCKnFyKUiKUbvALfHuaRkau7/BP6+I7CAco2CvYc/qg8i+kjo8pDtKtWPYHxQByQ5Q==" saltValue="Dm+dI59KJZkxNc86wpBj/Q==" spinCount="100000" sheet="1" formatColumns="0" selectLockedCells="1" selectUnlockedCells="1"/>
  <printOptions horizontalCentered="1"/>
  <pageMargins left="0.39370078740157483" right="0.39370078740157483" top="0.78740157480314965" bottom="0.39370078740157483" header="0.15748031496062992" footer="0.15748031496062992"/>
  <pageSetup paperSize="9" scale="110" orientation="landscape"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42">
    <pageSetUpPr fitToPage="1"/>
  </sheetPr>
  <dimension ref="A1:K163"/>
  <sheetViews>
    <sheetView zoomScale="75" zoomScaleNormal="75" workbookViewId="0">
      <selection activeCell="F10" sqref="F10"/>
    </sheetView>
  </sheetViews>
  <sheetFormatPr defaultColWidth="12.6640625" defaultRowHeight="15" x14ac:dyDescent="0.15"/>
  <cols>
    <col min="1" max="1" width="6.6640625" style="511" customWidth="1"/>
    <col min="2" max="2" width="7.6640625" style="512" customWidth="1"/>
    <col min="3" max="3" width="21" style="512" customWidth="1"/>
    <col min="4" max="4" width="56.1640625" style="512" customWidth="1"/>
    <col min="5" max="5" width="22.5" style="512" customWidth="1"/>
    <col min="6" max="6" width="23.1640625" style="512" customWidth="1"/>
    <col min="7" max="7" width="21.5" style="512" customWidth="1"/>
    <col min="8" max="8" width="105" style="666" customWidth="1"/>
    <col min="9" max="9" width="6.5" style="481" hidden="1" customWidth="1"/>
    <col min="10" max="10" width="7.33203125" style="480" hidden="1" customWidth="1"/>
    <col min="11" max="11" width="8.6640625" style="480" hidden="1" customWidth="1"/>
    <col min="12" max="14" width="12.6640625" style="480" customWidth="1"/>
    <col min="15" max="16384" width="12.6640625" style="480"/>
  </cols>
  <sheetData>
    <row r="1" spans="1:10" ht="62.25" customHeight="1" x14ac:dyDescent="0.15">
      <c r="H1" s="672" t="s">
        <v>332</v>
      </c>
      <c r="I1" s="454"/>
    </row>
    <row r="2" spans="1:10" ht="26.25" customHeight="1" thickBot="1" x14ac:dyDescent="0.2">
      <c r="A2" s="513"/>
      <c r="B2" s="514"/>
      <c r="C2" s="514"/>
      <c r="D2" s="452" t="str">
        <f>'t1'!A1</f>
        <v>REGIONE VALLE D'AOSTA - anno 2024</v>
      </c>
      <c r="E2" s="514"/>
      <c r="F2" s="514"/>
      <c r="G2" s="514"/>
      <c r="H2" s="673"/>
      <c r="I2" s="454"/>
    </row>
    <row r="3" spans="1:10" ht="9.6" customHeight="1" x14ac:dyDescent="0.15">
      <c r="F3" s="671"/>
      <c r="G3" s="671"/>
      <c r="H3" s="662"/>
      <c r="I3" s="454"/>
    </row>
    <row r="4" spans="1:10" ht="15" customHeight="1" x14ac:dyDescent="0.15">
      <c r="A4" s="1446" t="s">
        <v>586</v>
      </c>
      <c r="B4" s="1447"/>
      <c r="C4" s="1447"/>
      <c r="F4" s="671"/>
      <c r="G4" s="671"/>
      <c r="H4" s="662"/>
      <c r="I4" s="454"/>
    </row>
    <row r="5" spans="1:10" ht="9.6" customHeight="1" x14ac:dyDescent="0.15">
      <c r="F5" s="671"/>
      <c r="G5" s="671"/>
      <c r="H5" s="662"/>
      <c r="I5" s="454"/>
    </row>
    <row r="6" spans="1:10" ht="15" customHeight="1" x14ac:dyDescent="0.15">
      <c r="F6" s="455" t="s">
        <v>271</v>
      </c>
      <c r="G6" s="455" t="s">
        <v>272</v>
      </c>
      <c r="H6" s="663"/>
      <c r="I6" s="454"/>
    </row>
    <row r="7" spans="1:10" ht="30" customHeight="1" x14ac:dyDescent="0.15">
      <c r="A7" s="511" t="s">
        <v>294</v>
      </c>
      <c r="B7" s="1390" t="s">
        <v>587</v>
      </c>
      <c r="C7" s="1390"/>
      <c r="D7" s="1390"/>
      <c r="E7" s="1391"/>
      <c r="F7" s="431"/>
      <c r="G7" s="431"/>
      <c r="H7" s="568" t="str">
        <f>IF(I7=0,"RISPOSTA OBBLIGATORIA SOLO SE SI E' RISPOSTO SI' ALLA DOMANDA 15 DELLA SI_1A","")</f>
        <v>RISPOSTA OBBLIGATORIA SOLO SE SI E' RISPOSTO SI' ALLA DOMANDA 15 DELLA SI_1A</v>
      </c>
      <c r="I7" s="454">
        <v>0</v>
      </c>
      <c r="J7" s="480" t="str">
        <f>IF(I7=1,"VERO",IF(I7=2,"FALSO",""))</f>
        <v/>
      </c>
    </row>
    <row r="8" spans="1:10" ht="15.6" customHeight="1" x14ac:dyDescent="0.15">
      <c r="A8" s="556"/>
      <c r="B8" s="671"/>
      <c r="C8" s="671"/>
      <c r="D8" s="671"/>
      <c r="E8" s="671"/>
      <c r="F8" s="671"/>
      <c r="G8" s="671"/>
      <c r="H8" s="662"/>
      <c r="I8" s="454"/>
    </row>
    <row r="9" spans="1:10" ht="15" customHeight="1" x14ac:dyDescent="0.15">
      <c r="F9" s="455" t="s">
        <v>588</v>
      </c>
      <c r="H9" s="663"/>
      <c r="I9" s="454"/>
    </row>
    <row r="10" spans="1:10" ht="30" customHeight="1" x14ac:dyDescent="0.15">
      <c r="A10" s="511" t="s">
        <v>295</v>
      </c>
      <c r="C10" s="1414" t="s">
        <v>589</v>
      </c>
      <c r="D10" s="1414"/>
      <c r="E10" s="1448"/>
      <c r="F10" s="457"/>
      <c r="G10" s="1406" t="str">
        <f>IF($I$7=2,IF($F$10=0,"RISPOSTA OBBLIGATORIA"," "),IF(AND(I7=1,F10&gt;0),"LA RISPOSTA DATA IN QUESTA SEZIONE NON VERRA' CONSIDERATA",IF(F10&gt;0,"RISPONDERE NO ALLA DOMANDA 1"," ")))</f>
        <v xml:space="preserve"> </v>
      </c>
      <c r="H10" s="1449"/>
      <c r="I10" s="454"/>
    </row>
    <row r="11" spans="1:10" ht="14.45" customHeight="1" x14ac:dyDescent="0.15">
      <c r="A11" s="556"/>
      <c r="B11" s="671"/>
      <c r="C11" s="671"/>
      <c r="D11" s="671"/>
      <c r="E11" s="671"/>
      <c r="F11" s="671"/>
      <c r="G11" s="671"/>
      <c r="H11" s="662"/>
      <c r="I11" s="454"/>
    </row>
    <row r="12" spans="1:10" ht="30" customHeight="1" x14ac:dyDescent="0.15">
      <c r="C12" s="1414" t="s">
        <v>590</v>
      </c>
      <c r="D12" s="1414"/>
      <c r="E12" s="1448"/>
      <c r="F12" s="455" t="s">
        <v>271</v>
      </c>
      <c r="G12" s="455" t="s">
        <v>272</v>
      </c>
      <c r="H12" s="663"/>
      <c r="I12" s="454"/>
    </row>
    <row r="13" spans="1:10" ht="33" customHeight="1" x14ac:dyDescent="0.15">
      <c r="B13" s="512">
        <v>5</v>
      </c>
      <c r="C13" s="1450" t="s">
        <v>565</v>
      </c>
      <c r="D13" s="1450"/>
      <c r="E13" s="1450"/>
      <c r="F13" s="517"/>
      <c r="G13" s="517"/>
      <c r="H13" s="662" t="str">
        <f>IF($I$7=1,IF(I13=0,"RISPOSTA OBBLIGATORIA"," "),IF(OR($I$7=2,$F$10&gt;0),"LA RISPOSTA DATA IN QUESTA SEZIONE NON VERRA' CONSIDERATA",IF(I13&gt;0,"RISPONDERE ALLA DOMANDA 1"," ")))</f>
        <v xml:space="preserve"> </v>
      </c>
      <c r="I13" s="454">
        <v>0</v>
      </c>
      <c r="J13" s="480" t="str">
        <f>IF(I13=1,"VERO",IF(I13=2,"FALSO",""))</f>
        <v/>
      </c>
    </row>
    <row r="14" spans="1:10" ht="9.6" customHeight="1" x14ac:dyDescent="0.15">
      <c r="C14" s="1450"/>
      <c r="D14" s="1450"/>
      <c r="E14" s="1450"/>
      <c r="H14" s="664"/>
      <c r="I14" s="454"/>
    </row>
    <row r="15" spans="1:10" ht="33" customHeight="1" x14ac:dyDescent="0.15">
      <c r="B15" s="512">
        <v>6</v>
      </c>
      <c r="C15" s="1450" t="s">
        <v>566</v>
      </c>
      <c r="D15" s="1450"/>
      <c r="E15" s="1450"/>
      <c r="F15" s="517"/>
      <c r="G15" s="517"/>
      <c r="H15" s="662" t="str">
        <f>IF($I$7=1,IF(I15=0,"RISPOSTA OBBLIGATORIA"," "),IF(OR($I$7=2,$F$10&gt;0),"LA RISPOSTA DATA IN QUESTA SEZIONE NON VERRA' CONSIDERATA",IF(I15&gt;0,"RISPONDERE ALLA DOMANDA 1"," ")))</f>
        <v xml:space="preserve"> </v>
      </c>
      <c r="I15" s="454">
        <v>0</v>
      </c>
      <c r="J15" s="480" t="str">
        <f>IF(I15=1,"VERO",IF(I15=2,"FALSO",""))</f>
        <v/>
      </c>
    </row>
    <row r="16" spans="1:10" ht="9.6" customHeight="1" x14ac:dyDescent="0.15">
      <c r="C16" s="1450"/>
      <c r="D16" s="1450"/>
      <c r="E16" s="1450"/>
      <c r="H16" s="664"/>
      <c r="I16" s="454"/>
    </row>
    <row r="17" spans="1:10" ht="33" customHeight="1" x14ac:dyDescent="0.15">
      <c r="B17" s="512">
        <v>7</v>
      </c>
      <c r="C17" s="1450" t="s">
        <v>567</v>
      </c>
      <c r="D17" s="1450"/>
      <c r="E17" s="1450"/>
      <c r="F17" s="517"/>
      <c r="G17" s="517"/>
      <c r="H17" s="662" t="str">
        <f>IF($I$7=1,IF(I17=0,"RISPOSTA OBBLIGATORIA"," "),IF(OR($I$7=2,$F$10&gt;0),"LA RISPOSTA DATA IN QUESTA SEZIONE NON VERRA' CONSIDERATA",IF(I17&gt;0,"RISPONDERE ALLA DOMANDA 1"," ")))</f>
        <v xml:space="preserve"> </v>
      </c>
      <c r="I17" s="454">
        <v>0</v>
      </c>
      <c r="J17" s="480" t="str">
        <f>IF(I17=1,"VERO",IF(I17=2,"FALSO",""))</f>
        <v/>
      </c>
    </row>
    <row r="18" spans="1:10" ht="9.6" customHeight="1" x14ac:dyDescent="0.15">
      <c r="C18" s="1450"/>
      <c r="D18" s="1450"/>
      <c r="E18" s="1450"/>
      <c r="H18" s="664"/>
      <c r="I18" s="454"/>
    </row>
    <row r="19" spans="1:10" ht="33" customHeight="1" x14ac:dyDescent="0.15">
      <c r="B19" s="512">
        <v>8</v>
      </c>
      <c r="C19" s="1450" t="s">
        <v>568</v>
      </c>
      <c r="D19" s="1450"/>
      <c r="E19" s="1450"/>
      <c r="F19" s="517"/>
      <c r="G19" s="517"/>
      <c r="H19" s="662" t="str">
        <f>IF($I$7=1,IF(I19=0,"RISPOSTA OBBLIGATORIA"," "),IF(OR($I$7=2,$F$10&gt;0),"LA RISPOSTA DATA IN QUESTA SEZIONE NON VERRA' CONSIDERATA",IF(I19&gt;0,"RISPONDERE ALLA DOMANDA 1"," ")))</f>
        <v xml:space="preserve"> </v>
      </c>
      <c r="I19" s="454">
        <v>0</v>
      </c>
      <c r="J19" s="480" t="str">
        <f>IF(I19=1,"VERO",IF(I19=2,"FALSO",""))</f>
        <v/>
      </c>
    </row>
    <row r="20" spans="1:10" ht="9.6" customHeight="1" x14ac:dyDescent="0.15">
      <c r="A20" s="556"/>
      <c r="B20" s="671"/>
      <c r="C20" s="1450"/>
      <c r="D20" s="1450"/>
      <c r="E20" s="1450"/>
      <c r="F20" s="558"/>
      <c r="G20" s="557"/>
      <c r="H20" s="674"/>
      <c r="I20" s="454"/>
    </row>
    <row r="21" spans="1:10" ht="33" customHeight="1" x14ac:dyDescent="0.15">
      <c r="B21" s="512">
        <v>9</v>
      </c>
      <c r="C21" s="1450" t="s">
        <v>569</v>
      </c>
      <c r="D21" s="1450"/>
      <c r="E21" s="1450"/>
      <c r="F21" s="517"/>
      <c r="G21" s="517"/>
      <c r="H21" s="662" t="str">
        <f>IF($I$7=1,IF(I21=0,"RISPOSTA OBBLIGATORIA"," "),IF(OR($I$7=2,$F$10&gt;0),"LA RISPOSTA DATA IN QUESTA SEZIONE NON VERRA' CONSIDERATA",IF(I21&gt;0,"RISPONDERE ALLA DOMANDA 1"," ")))</f>
        <v xml:space="preserve"> </v>
      </c>
      <c r="I21" s="454">
        <v>0</v>
      </c>
      <c r="J21" s="480" t="str">
        <f>IF(I21=1,"VERO",IF(I21=2,"FALSO",""))</f>
        <v/>
      </c>
    </row>
    <row r="22" spans="1:10" ht="9.6" customHeight="1" x14ac:dyDescent="0.15">
      <c r="C22" s="1450"/>
      <c r="D22" s="1450"/>
      <c r="E22" s="1450"/>
      <c r="H22" s="664"/>
      <c r="I22" s="454"/>
    </row>
    <row r="23" spans="1:10" ht="33" customHeight="1" x14ac:dyDescent="0.15">
      <c r="B23" s="512">
        <v>10</v>
      </c>
      <c r="C23" s="1450" t="s">
        <v>570</v>
      </c>
      <c r="D23" s="1450"/>
      <c r="E23" s="1450"/>
      <c r="F23" s="517"/>
      <c r="G23" s="517"/>
      <c r="H23" s="662" t="str">
        <f>IF($I$7=1,IF(I23=0,"RISPOSTA OBBLIGATORIA"," "),IF(OR($I$7=2,$F$10&gt;0),"LA RISPOSTA DATA IN QUESTA SEZIONE NON VERRA' CONSIDERATA",IF(I23&gt;0,"RISPONDERE ALLA DOMANDA 1"," ")))</f>
        <v xml:space="preserve"> </v>
      </c>
      <c r="I23" s="454">
        <v>0</v>
      </c>
      <c r="J23" s="480" t="str">
        <f>IF(I23=1,"VERO",IF(I23=2,"FALSO",""))</f>
        <v/>
      </c>
    </row>
    <row r="24" spans="1:10" ht="9.6" customHeight="1" x14ac:dyDescent="0.15">
      <c r="C24" s="1450"/>
      <c r="D24" s="1450"/>
      <c r="E24" s="1450"/>
      <c r="H24" s="664"/>
      <c r="I24" s="454"/>
    </row>
    <row r="25" spans="1:10" ht="36.950000000000003" customHeight="1" x14ac:dyDescent="0.15">
      <c r="B25" s="512">
        <v>11</v>
      </c>
      <c r="C25" s="1450" t="s">
        <v>571</v>
      </c>
      <c r="D25" s="1450"/>
      <c r="E25" s="1450"/>
      <c r="F25" s="517"/>
      <c r="G25" s="517"/>
      <c r="H25" s="662" t="str">
        <f>IF($I$7=1,IF(I25=0,"RISPOSTA OBBLIGATORIA"," "),IF(OR($I$7=2,$F$10&gt;0),"LA RISPOSTA DATA IN QUESTA SEZIONE NON VERRA' CONSIDERATA",IF(I25&gt;0,"RISPONDERE ALLA DOMANDA 1"," ")))</f>
        <v xml:space="preserve"> </v>
      </c>
      <c r="I25" s="454">
        <v>0</v>
      </c>
      <c r="J25" s="480" t="str">
        <f>IF(I25=1,"VERO",IF(I25=2,"FALSO",""))</f>
        <v/>
      </c>
    </row>
    <row r="26" spans="1:10" ht="9.6" customHeight="1" x14ac:dyDescent="0.15">
      <c r="C26" s="1450"/>
      <c r="D26" s="1450"/>
      <c r="E26" s="1450"/>
      <c r="H26" s="664"/>
      <c r="I26" s="454"/>
    </row>
    <row r="27" spans="1:10" ht="33" customHeight="1" x14ac:dyDescent="0.15">
      <c r="B27" s="512">
        <v>12</v>
      </c>
      <c r="C27" s="1450" t="s">
        <v>572</v>
      </c>
      <c r="D27" s="1450"/>
      <c r="E27" s="1450"/>
      <c r="F27" s="517"/>
      <c r="G27" s="517"/>
      <c r="H27" s="662" t="str">
        <f>IF($I$7=1,IF(I27=0,"RISPOSTA OBBLIGATORIA"," "),IF(OR($I$7=2,$F$10&gt;0),"LA RISPOSTA DATA IN QUESTA SEZIONE NON VERRA' CONSIDERATA",IF(I27&gt;0,"RISPONDERE ALLA DOMANDA 1"," ")))</f>
        <v xml:space="preserve"> </v>
      </c>
      <c r="I27" s="454">
        <v>0</v>
      </c>
      <c r="J27" s="480" t="str">
        <f>IF(I27=1,"VERO",IF(I27=2,"FALSO",""))</f>
        <v/>
      </c>
    </row>
    <row r="28" spans="1:10" ht="9.6" customHeight="1" x14ac:dyDescent="0.15">
      <c r="C28" s="1450"/>
      <c r="D28" s="1450"/>
      <c r="E28" s="1450"/>
      <c r="H28" s="664"/>
      <c r="I28" s="454"/>
    </row>
    <row r="29" spans="1:10" ht="33" customHeight="1" x14ac:dyDescent="0.15">
      <c r="B29" s="512">
        <v>13</v>
      </c>
      <c r="C29" s="1450" t="s">
        <v>573</v>
      </c>
      <c r="D29" s="1450"/>
      <c r="E29" s="1450"/>
      <c r="F29" s="517"/>
      <c r="G29" s="517"/>
      <c r="H29" s="662" t="str">
        <f>IF($I$7=1,IF(I29=0,"RISPOSTA OBBLIGATORIA"," "),IF(OR($I$7=2,$F$10&gt;0),"LA RISPOSTA DATA IN QUESTA SEZIONE NON VERRA' CONSIDERATA",IF(I29&gt;0,"RISPONDERE ALLA DOMANDA 1"," ")))</f>
        <v xml:space="preserve"> </v>
      </c>
      <c r="I29" s="454">
        <v>0</v>
      </c>
      <c r="J29" s="480" t="str">
        <f>IF(I29=1,"VERO",IF(I29=2,"FALSO",""))</f>
        <v/>
      </c>
    </row>
    <row r="30" spans="1:10" ht="9.6" customHeight="1" x14ac:dyDescent="0.15">
      <c r="C30" s="1450"/>
      <c r="D30" s="1450"/>
      <c r="E30" s="1450"/>
      <c r="H30" s="664"/>
      <c r="I30" s="454"/>
    </row>
    <row r="31" spans="1:10" ht="38.450000000000003" customHeight="1" x14ac:dyDescent="0.15">
      <c r="B31" s="512">
        <v>14</v>
      </c>
      <c r="C31" s="1450" t="s">
        <v>591</v>
      </c>
      <c r="D31" s="1450"/>
      <c r="E31" s="1450"/>
      <c r="F31" s="517"/>
      <c r="G31" s="517"/>
      <c r="H31" s="662" t="str">
        <f>IF($I$7=1,IF(I31=0,"RISPOSTA OBBLIGATORIA"," "),IF(OR($I$7=2,$F$10&gt;0),"LA RISPOSTA DATA IN QUESTA SEZIONE NON VERRA' CONSIDERATA",IF(I31&gt;0,"RISPONDERE ALLA DOMANDA 1"," ")))</f>
        <v xml:space="preserve"> </v>
      </c>
      <c r="I31" s="454">
        <v>0</v>
      </c>
      <c r="J31" s="480" t="str">
        <f>IF(I31=1,"VERO",IF(I31=2,"FALSO",""))</f>
        <v/>
      </c>
    </row>
    <row r="32" spans="1:10" ht="9.6" customHeight="1" x14ac:dyDescent="0.15">
      <c r="C32" s="1450"/>
      <c r="D32" s="1450"/>
      <c r="E32" s="1450"/>
      <c r="H32" s="664"/>
      <c r="I32" s="454"/>
    </row>
    <row r="33" spans="1:10" ht="33" customHeight="1" x14ac:dyDescent="0.15">
      <c r="B33" s="512">
        <v>15</v>
      </c>
      <c r="C33" s="1450" t="s">
        <v>574</v>
      </c>
      <c r="D33" s="1450"/>
      <c r="E33" s="1450"/>
      <c r="F33" s="675"/>
      <c r="G33" s="675"/>
      <c r="H33" s="662" t="str">
        <f>IF($I$7=1,IF(I33=0,"RISPOSTA OBBLIGATORIA"," "),IF(OR($I$7=2,$F$10&gt;0),"LA RISPOSTA DATA IN QUESTA SEZIONE NON VERRA' CONSIDERATA",IF(I33&gt;0,"RISPONDERE ALLA DOMANDA 1"," ")))</f>
        <v xml:space="preserve"> </v>
      </c>
      <c r="I33" s="454">
        <v>0</v>
      </c>
      <c r="J33" s="480" t="str">
        <f>IF(I33=1,"VERO",IF(I33=2,"FALSO",""))</f>
        <v/>
      </c>
    </row>
    <row r="34" spans="1:10" ht="9.6" customHeight="1" thickBot="1" x14ac:dyDescent="0.2">
      <c r="A34" s="513"/>
      <c r="B34" s="514"/>
      <c r="C34" s="1451"/>
      <c r="D34" s="1451"/>
      <c r="E34" s="1451"/>
      <c r="F34" s="514"/>
      <c r="G34" s="514"/>
      <c r="H34" s="676"/>
      <c r="I34" s="454"/>
    </row>
    <row r="35" spans="1:10" ht="9.6" customHeight="1" x14ac:dyDescent="0.15">
      <c r="C35" s="1450"/>
      <c r="D35" s="1450"/>
      <c r="E35" s="1450"/>
      <c r="H35" s="664"/>
      <c r="I35" s="454"/>
    </row>
    <row r="36" spans="1:10" ht="15" customHeight="1" x14ac:dyDescent="0.15">
      <c r="A36" s="1446" t="s">
        <v>592</v>
      </c>
      <c r="B36" s="1452"/>
      <c r="C36" s="1452"/>
      <c r="D36" s="670"/>
      <c r="E36" s="670"/>
      <c r="H36" s="664"/>
      <c r="I36" s="454"/>
    </row>
    <row r="37" spans="1:10" ht="9.6" customHeight="1" x14ac:dyDescent="0.15">
      <c r="C37" s="670"/>
      <c r="D37" s="670"/>
      <c r="E37" s="670"/>
      <c r="H37" s="664"/>
      <c r="I37" s="454"/>
    </row>
    <row r="38" spans="1:10" ht="15" customHeight="1" x14ac:dyDescent="0.15">
      <c r="F38" s="455" t="s">
        <v>271</v>
      </c>
      <c r="G38" s="455" t="s">
        <v>272</v>
      </c>
      <c r="H38" s="663"/>
      <c r="I38" s="454"/>
    </row>
    <row r="39" spans="1:10" ht="30" customHeight="1" x14ac:dyDescent="0.15">
      <c r="A39" s="511" t="s">
        <v>333</v>
      </c>
      <c r="B39" s="1390" t="s">
        <v>587</v>
      </c>
      <c r="C39" s="1390"/>
      <c r="D39" s="1390"/>
      <c r="E39" s="1391"/>
      <c r="F39" s="431"/>
      <c r="G39" s="431"/>
      <c r="H39" s="568"/>
      <c r="I39" s="454">
        <v>0</v>
      </c>
      <c r="J39" s="480" t="str">
        <f>IF(I39=1,"VERO",IF(I39=2,"FALSO",""))</f>
        <v/>
      </c>
    </row>
    <row r="40" spans="1:10" ht="15.6" customHeight="1" x14ac:dyDescent="0.15">
      <c r="A40" s="556"/>
      <c r="B40" s="671"/>
      <c r="C40" s="671"/>
      <c r="D40" s="671"/>
      <c r="E40" s="671"/>
      <c r="F40" s="671"/>
      <c r="G40" s="671"/>
      <c r="H40" s="662"/>
      <c r="I40" s="454"/>
    </row>
    <row r="41" spans="1:10" ht="15" customHeight="1" x14ac:dyDescent="0.15">
      <c r="F41" s="455" t="s">
        <v>588</v>
      </c>
      <c r="H41" s="663"/>
      <c r="I41" s="454"/>
    </row>
    <row r="42" spans="1:10" ht="30" customHeight="1" x14ac:dyDescent="0.15">
      <c r="A42" s="511" t="s">
        <v>351</v>
      </c>
      <c r="C42" s="1414" t="s">
        <v>589</v>
      </c>
      <c r="D42" s="1414"/>
      <c r="E42" s="1448"/>
      <c r="F42" s="457"/>
      <c r="G42" s="1406" t="str">
        <f>IF($I$39=2,IF($F$42=0,"RISPOSTA OBBLIGATORIA"," "),IF(AND(I39=1,F42&gt;0),"LA RISPOSTA DATA IN QUESTA SEZIONE NON VERRA' CONSIDERATA",IF(F42&gt;0,"RISPONDERE NO ALLA DOMANDA 16"," ")))</f>
        <v xml:space="preserve"> </v>
      </c>
      <c r="H42" s="1449"/>
      <c r="I42" s="454"/>
    </row>
    <row r="43" spans="1:10" ht="14.45" customHeight="1" x14ac:dyDescent="0.15">
      <c r="A43" s="556"/>
      <c r="B43" s="671"/>
      <c r="C43" s="671"/>
      <c r="D43" s="671"/>
      <c r="E43" s="671"/>
      <c r="F43" s="671"/>
      <c r="G43" s="671"/>
      <c r="H43" s="662"/>
      <c r="I43" s="454"/>
    </row>
    <row r="44" spans="1:10" ht="30" customHeight="1" x14ac:dyDescent="0.15">
      <c r="C44" s="1414" t="s">
        <v>590</v>
      </c>
      <c r="D44" s="1414"/>
      <c r="E44" s="1448"/>
      <c r="F44" s="455" t="s">
        <v>271</v>
      </c>
      <c r="G44" s="455" t="s">
        <v>272</v>
      </c>
      <c r="H44" s="663"/>
      <c r="I44" s="454"/>
    </row>
    <row r="45" spans="1:10" ht="33" customHeight="1" x14ac:dyDescent="0.15">
      <c r="B45" s="512">
        <v>20</v>
      </c>
      <c r="C45" s="1450" t="s">
        <v>565</v>
      </c>
      <c r="D45" s="1450"/>
      <c r="E45" s="1450"/>
      <c r="F45" s="517"/>
      <c r="G45" s="517"/>
      <c r="H45" s="662" t="str">
        <f>IF($I$39=1,IF(I45=0,"RISPOSTA OBBLIGATORIA"," "),IF(OR($I$39=2,$F$42&gt;0),"LA RISPOSTA DATA IN QUESTA SEZIONE NON VERRA' CONSIDERATA",IF(I45&gt;0,"RISPONDERE ALLA DOMANDA 16"," ")))</f>
        <v xml:space="preserve"> </v>
      </c>
      <c r="I45" s="454">
        <v>0</v>
      </c>
      <c r="J45" s="480" t="str">
        <f>IF(I45=1,"VERO",IF(I45=2,"FALSO",""))</f>
        <v/>
      </c>
    </row>
    <row r="46" spans="1:10" ht="9.6" customHeight="1" x14ac:dyDescent="0.15">
      <c r="C46" s="1450"/>
      <c r="D46" s="1450"/>
      <c r="E46" s="1450"/>
      <c r="H46" s="664"/>
      <c r="I46" s="454"/>
    </row>
    <row r="47" spans="1:10" ht="33" customHeight="1" x14ac:dyDescent="0.15">
      <c r="B47" s="512">
        <v>21</v>
      </c>
      <c r="C47" s="1450" t="s">
        <v>566</v>
      </c>
      <c r="D47" s="1450"/>
      <c r="E47" s="1450"/>
      <c r="F47" s="517"/>
      <c r="G47" s="517"/>
      <c r="H47" s="662" t="str">
        <f>IF($I$39=1,IF(I47=0,"RISPOSTA OBBLIGATORIA"," "),IF(OR($I$39=2,$F$42&gt;0),"LA RISPOSTA DATA IN QUESTA SEZIONE NON VERRA' CONSIDERATA",IF(I47&gt;0,"RISPONDERE ALLA DOMANDA 16"," ")))</f>
        <v xml:space="preserve"> </v>
      </c>
      <c r="I47" s="454">
        <v>0</v>
      </c>
      <c r="J47" s="480" t="str">
        <f>IF(I47=1,"VERO",IF(I47=2,"FALSO",""))</f>
        <v/>
      </c>
    </row>
    <row r="48" spans="1:10" ht="9.6" customHeight="1" x14ac:dyDescent="0.15">
      <c r="C48" s="1450"/>
      <c r="D48" s="1450"/>
      <c r="E48" s="1450"/>
      <c r="H48" s="664"/>
      <c r="I48" s="454"/>
    </row>
    <row r="49" spans="1:10" ht="33" customHeight="1" x14ac:dyDescent="0.15">
      <c r="B49" s="512">
        <v>22</v>
      </c>
      <c r="C49" s="1450" t="s">
        <v>567</v>
      </c>
      <c r="D49" s="1450"/>
      <c r="E49" s="1450"/>
      <c r="F49" s="517"/>
      <c r="G49" s="517"/>
      <c r="H49" s="662" t="str">
        <f>IF($I$39=1,IF(I49=0,"RISPOSTA OBBLIGATORIA"," "),IF(OR($I$39=2,$F$42&gt;0),"LA RISPOSTA DATA IN QUESTA SEZIONE NON VERRA' CONSIDERATA",IF(I49&gt;0,"RISPONDERE ALLA DOMANDA 16"," ")))</f>
        <v xml:space="preserve"> </v>
      </c>
      <c r="I49" s="454">
        <v>0</v>
      </c>
      <c r="J49" s="480" t="str">
        <f>IF(I49=1,"VERO",IF(I49=2,"FALSO",""))</f>
        <v/>
      </c>
    </row>
    <row r="50" spans="1:10" ht="9.6" customHeight="1" x14ac:dyDescent="0.15">
      <c r="C50" s="1450"/>
      <c r="D50" s="1450"/>
      <c r="E50" s="1450"/>
      <c r="H50" s="664"/>
      <c r="I50" s="454"/>
    </row>
    <row r="51" spans="1:10" ht="33" customHeight="1" x14ac:dyDescent="0.15">
      <c r="B51" s="512">
        <v>23</v>
      </c>
      <c r="C51" s="1450" t="s">
        <v>568</v>
      </c>
      <c r="D51" s="1450"/>
      <c r="E51" s="1450"/>
      <c r="F51" s="517"/>
      <c r="G51" s="517"/>
      <c r="H51" s="662" t="str">
        <f>IF($I$39=1,IF(I51=0,"RISPOSTA OBBLIGATORIA"," "),IF(OR($I$39=2,$F$42&gt;0),"LA RISPOSTA DATA IN QUESTA SEZIONE NON VERRA' CONSIDERATA",IF(I51&gt;0,"RISPONDERE ALLA DOMANDA 16"," ")))</f>
        <v xml:space="preserve"> </v>
      </c>
      <c r="I51" s="454">
        <v>0</v>
      </c>
      <c r="J51" s="480" t="str">
        <f>IF(I51=1,"VERO",IF(I51=2,"FALSO",""))</f>
        <v/>
      </c>
    </row>
    <row r="52" spans="1:10" ht="9.6" customHeight="1" x14ac:dyDescent="0.15">
      <c r="A52" s="556"/>
      <c r="B52" s="671"/>
      <c r="C52" s="1450"/>
      <c r="D52" s="1450"/>
      <c r="E52" s="1450"/>
      <c r="F52" s="558"/>
      <c r="G52" s="557"/>
      <c r="H52" s="674"/>
      <c r="I52" s="454"/>
    </row>
    <row r="53" spans="1:10" ht="33" customHeight="1" x14ac:dyDescent="0.15">
      <c r="B53" s="512">
        <v>24</v>
      </c>
      <c r="C53" s="1450" t="s">
        <v>569</v>
      </c>
      <c r="D53" s="1450"/>
      <c r="E53" s="1450"/>
      <c r="F53" s="517"/>
      <c r="G53" s="517"/>
      <c r="H53" s="662" t="str">
        <f>IF($I$39=1,IF(I53=0,"RISPOSTA OBBLIGATORIA"," "),IF(OR($I$39=2,$F$42&gt;0),"LA RISPOSTA DATA IN QUESTA SEZIONE NON VERRA' CONSIDERATA",IF(I53&gt;0,"RISPONDERE ALLA DOMANDA 16"," ")))</f>
        <v xml:space="preserve"> </v>
      </c>
      <c r="I53" s="454">
        <v>0</v>
      </c>
      <c r="J53" s="480" t="str">
        <f>IF(I53=1,"VERO",IF(I53=2,"FALSO",""))</f>
        <v/>
      </c>
    </row>
    <row r="54" spans="1:10" ht="9.6" customHeight="1" x14ac:dyDescent="0.15">
      <c r="C54" s="1450"/>
      <c r="D54" s="1450"/>
      <c r="E54" s="1450"/>
      <c r="H54" s="664"/>
      <c r="I54" s="454"/>
    </row>
    <row r="55" spans="1:10" ht="33" customHeight="1" x14ac:dyDescent="0.15">
      <c r="B55" s="512">
        <v>25</v>
      </c>
      <c r="C55" s="1450" t="s">
        <v>570</v>
      </c>
      <c r="D55" s="1450"/>
      <c r="E55" s="1450"/>
      <c r="F55" s="517"/>
      <c r="G55" s="517"/>
      <c r="H55" s="662" t="str">
        <f>IF($I$39=1,IF(I55=0,"RISPOSTA OBBLIGATORIA"," "),IF(OR($I$39=2,$F$42&gt;0),"LA RISPOSTA DATA IN QUESTA SEZIONE NON VERRA' CONSIDERATA",IF(I55&gt;0,"RISPONDERE ALLA DOMANDA 16"," ")))</f>
        <v xml:space="preserve"> </v>
      </c>
      <c r="I55" s="454">
        <v>0</v>
      </c>
      <c r="J55" s="480" t="str">
        <f>IF(I55=1,"VERO",IF(I55=2,"FALSO",""))</f>
        <v/>
      </c>
    </row>
    <row r="56" spans="1:10" ht="9.6" customHeight="1" x14ac:dyDescent="0.15">
      <c r="C56" s="1450"/>
      <c r="D56" s="1450"/>
      <c r="E56" s="1450"/>
      <c r="H56" s="664"/>
      <c r="I56" s="454"/>
    </row>
    <row r="57" spans="1:10" ht="36.950000000000003" customHeight="1" x14ac:dyDescent="0.15">
      <c r="B57" s="512">
        <v>26</v>
      </c>
      <c r="C57" s="1450" t="s">
        <v>571</v>
      </c>
      <c r="D57" s="1450"/>
      <c r="E57" s="1450"/>
      <c r="F57" s="517"/>
      <c r="G57" s="517"/>
      <c r="H57" s="662" t="str">
        <f>IF($I$39=1,IF(I57=0,"RISPOSTA OBBLIGATORIA"," "),IF(OR($I$39=2,$F$42&gt;0),"LA RISPOSTA DATA IN QUESTA SEZIONE NON VERRA' CONSIDERATA",IF(I57&gt;0,"RISPONDERE ALLA DOMANDA 16"," ")))</f>
        <v xml:space="preserve"> </v>
      </c>
      <c r="I57" s="454">
        <v>0</v>
      </c>
      <c r="J57" s="480" t="str">
        <f>IF(I57=1,"VERO",IF(I57=2,"FALSO",""))</f>
        <v/>
      </c>
    </row>
    <row r="58" spans="1:10" ht="9.6" customHeight="1" x14ac:dyDescent="0.15">
      <c r="C58" s="1450"/>
      <c r="D58" s="1450"/>
      <c r="E58" s="1450"/>
      <c r="H58" s="664"/>
      <c r="I58" s="454"/>
    </row>
    <row r="59" spans="1:10" ht="33" customHeight="1" x14ac:dyDescent="0.15">
      <c r="B59" s="512">
        <v>27</v>
      </c>
      <c r="C59" s="1450" t="s">
        <v>572</v>
      </c>
      <c r="D59" s="1450"/>
      <c r="E59" s="1450"/>
      <c r="F59" s="517"/>
      <c r="G59" s="517"/>
      <c r="H59" s="662" t="str">
        <f>IF($I$39=1,IF(I59=0,"RISPOSTA OBBLIGATORIA"," "),IF(OR($I$39=2,$F$42&gt;0),"LA RISPOSTA DATA IN QUESTA SEZIONE NON VERRA' CONSIDERATA",IF(I59&gt;0,"RISPONDERE ALLA DOMANDA 16"," ")))</f>
        <v xml:space="preserve"> </v>
      </c>
      <c r="I59" s="454">
        <v>0</v>
      </c>
      <c r="J59" s="480" t="str">
        <f>IF(I59=1,"VERO",IF(I59=2,"FALSO",""))</f>
        <v/>
      </c>
    </row>
    <row r="60" spans="1:10" ht="9.6" customHeight="1" x14ac:dyDescent="0.15">
      <c r="C60" s="1450"/>
      <c r="D60" s="1450"/>
      <c r="E60" s="1450"/>
      <c r="H60" s="664"/>
      <c r="I60" s="454"/>
    </row>
    <row r="61" spans="1:10" ht="33" customHeight="1" x14ac:dyDescent="0.15">
      <c r="B61" s="512">
        <v>28</v>
      </c>
      <c r="C61" s="1450" t="s">
        <v>573</v>
      </c>
      <c r="D61" s="1450"/>
      <c r="E61" s="1450"/>
      <c r="F61" s="517"/>
      <c r="G61" s="517"/>
      <c r="H61" s="662" t="str">
        <f>IF($I$39=1,IF(I61=0,"RISPOSTA OBBLIGATORIA"," "),IF(OR($I$39=2,$F$42&gt;0),"LA RISPOSTA DATA IN QUESTA SEZIONE NON VERRA' CONSIDERATA",IF(I61&gt;0,"RISPONDERE ALLA DOMANDA 16"," ")))</f>
        <v xml:space="preserve"> </v>
      </c>
      <c r="I61" s="454">
        <v>0</v>
      </c>
      <c r="J61" s="480" t="str">
        <f>IF(I61=1,"VERO",IF(I61=2,"FALSO",""))</f>
        <v/>
      </c>
    </row>
    <row r="62" spans="1:10" ht="9.6" customHeight="1" x14ac:dyDescent="0.15">
      <c r="C62" s="1450"/>
      <c r="D62" s="1450"/>
      <c r="E62" s="1450"/>
      <c r="H62" s="664"/>
      <c r="I62" s="454"/>
    </row>
    <row r="63" spans="1:10" ht="38.450000000000003" customHeight="1" x14ac:dyDescent="0.15">
      <c r="B63" s="512">
        <v>29</v>
      </c>
      <c r="C63" s="1450" t="s">
        <v>591</v>
      </c>
      <c r="D63" s="1450"/>
      <c r="E63" s="1450"/>
      <c r="F63" s="517"/>
      <c r="G63" s="517"/>
      <c r="H63" s="662" t="str">
        <f>IF($I$39=1,IF(I63=0,"RISPOSTA OBBLIGATORIA"," "),IF(OR($I$39=2,$F$42&gt;0),"LA RISPOSTA DATA IN QUESTA SEZIONE NON VERRA' CONSIDERATA",IF(I63&gt;0,"RISPONDERE ALLA DOMANDA 16"," ")))</f>
        <v xml:space="preserve"> </v>
      </c>
      <c r="I63" s="454">
        <v>0</v>
      </c>
      <c r="J63" s="480" t="str">
        <f>IF(I63=1,"VERO",IF(I63=2,"FALSO",""))</f>
        <v/>
      </c>
    </row>
    <row r="64" spans="1:10" ht="9.6" customHeight="1" x14ac:dyDescent="0.15">
      <c r="C64" s="1450"/>
      <c r="D64" s="1450"/>
      <c r="E64" s="1450"/>
      <c r="H64" s="664"/>
      <c r="I64" s="454"/>
    </row>
    <row r="65" spans="1:10" ht="33" customHeight="1" x14ac:dyDescent="0.15">
      <c r="B65" s="512">
        <v>30</v>
      </c>
      <c r="C65" s="1450" t="s">
        <v>574</v>
      </c>
      <c r="D65" s="1450"/>
      <c r="E65" s="1450"/>
      <c r="F65" s="675"/>
      <c r="G65" s="675"/>
      <c r="H65" s="662" t="str">
        <f>IF($I$39=1,IF(I65=0,"RISPOSTA OBBLIGATORIA"," "),IF(OR($I$39=2,$F$42&gt;0),"LA RISPOSTA DATA IN QUESTA SEZIONE NON VERRA' CONSIDERATA",IF(I65&gt;0,"RISPONDERE ALLA DOMANDA 16"," ")))</f>
        <v xml:space="preserve"> </v>
      </c>
      <c r="I65" s="454">
        <v>0</v>
      </c>
      <c r="J65" s="480" t="str">
        <f>IF(I65=1,"VERO",IF(I65=2,"FALSO",""))</f>
        <v/>
      </c>
    </row>
    <row r="66" spans="1:10" ht="9.6" customHeight="1" thickBot="1" x14ac:dyDescent="0.2">
      <c r="A66" s="513"/>
      <c r="B66" s="514"/>
      <c r="C66" s="1451"/>
      <c r="D66" s="1451"/>
      <c r="E66" s="1451"/>
      <c r="F66" s="514"/>
      <c r="G66" s="514"/>
      <c r="H66" s="676"/>
      <c r="I66" s="454"/>
    </row>
    <row r="67" spans="1:10" ht="9.6" customHeight="1" x14ac:dyDescent="0.15">
      <c r="C67" s="1450"/>
      <c r="D67" s="1450"/>
      <c r="E67" s="1450"/>
      <c r="H67" s="664"/>
      <c r="I67" s="454"/>
    </row>
    <row r="68" spans="1:10" ht="15" customHeight="1" x14ac:dyDescent="0.15">
      <c r="A68" s="1446" t="s">
        <v>593</v>
      </c>
      <c r="B68" s="1447"/>
      <c r="C68" s="1447"/>
      <c r="D68" s="670"/>
      <c r="E68" s="670"/>
      <c r="H68" s="664"/>
      <c r="I68" s="454"/>
    </row>
    <row r="69" spans="1:10" ht="9.6" customHeight="1" x14ac:dyDescent="0.15">
      <c r="C69" s="670"/>
      <c r="D69" s="670"/>
      <c r="E69" s="670"/>
      <c r="H69" s="664"/>
      <c r="I69" s="454"/>
    </row>
    <row r="70" spans="1:10" ht="15" customHeight="1" x14ac:dyDescent="0.15">
      <c r="F70" s="455" t="s">
        <v>271</v>
      </c>
      <c r="G70" s="455" t="s">
        <v>272</v>
      </c>
      <c r="H70" s="663"/>
      <c r="I70" s="454"/>
    </row>
    <row r="71" spans="1:10" ht="30" customHeight="1" x14ac:dyDescent="0.15">
      <c r="A71" s="511" t="s">
        <v>594</v>
      </c>
      <c r="B71" s="1390" t="s">
        <v>587</v>
      </c>
      <c r="C71" s="1390"/>
      <c r="D71" s="1390"/>
      <c r="E71" s="1391"/>
      <c r="F71" s="431"/>
      <c r="G71" s="431"/>
      <c r="H71" s="568"/>
      <c r="I71" s="454">
        <v>0</v>
      </c>
      <c r="J71" s="480" t="str">
        <f>IF(I71=1,"VERO",IF(I71=2,"FALSO",""))</f>
        <v/>
      </c>
    </row>
    <row r="72" spans="1:10" ht="15.6" customHeight="1" x14ac:dyDescent="0.15">
      <c r="A72" s="556"/>
      <c r="B72" s="671"/>
      <c r="C72" s="671"/>
      <c r="D72" s="671"/>
      <c r="E72" s="671"/>
      <c r="F72" s="671"/>
      <c r="G72" s="671"/>
      <c r="H72" s="662"/>
      <c r="I72" s="454"/>
    </row>
    <row r="73" spans="1:10" ht="15" customHeight="1" x14ac:dyDescent="0.15">
      <c r="F73" s="455" t="s">
        <v>588</v>
      </c>
      <c r="H73" s="663"/>
      <c r="I73" s="454"/>
    </row>
    <row r="74" spans="1:10" ht="30" customHeight="1" x14ac:dyDescent="0.15">
      <c r="A74" s="511" t="s">
        <v>595</v>
      </c>
      <c r="C74" s="1414" t="s">
        <v>589</v>
      </c>
      <c r="D74" s="1414"/>
      <c r="E74" s="1448"/>
      <c r="F74" s="457"/>
      <c r="G74" s="1406" t="str">
        <f>IF($I$71=2,IF($F$74=0,"RISPOSTA OBBLIGATORIA"," "),IF(AND(I71=1,F74&gt;0),"LA RISPOSTA DATA IN QUESTA SEZIONE NON VERRA' CONSIDERATA",IF(F74&gt;0,"RISPONDERE NO ALLA DOMANDA 31"," ")))</f>
        <v xml:space="preserve"> </v>
      </c>
      <c r="H74" s="1449"/>
      <c r="I74" s="454"/>
    </row>
    <row r="75" spans="1:10" ht="14.45" customHeight="1" x14ac:dyDescent="0.15">
      <c r="A75" s="556"/>
      <c r="B75" s="671"/>
      <c r="C75" s="671"/>
      <c r="D75" s="671"/>
      <c r="E75" s="671"/>
      <c r="F75" s="671"/>
      <c r="G75" s="671"/>
      <c r="H75" s="662"/>
      <c r="I75" s="454"/>
    </row>
    <row r="76" spans="1:10" ht="30" customHeight="1" x14ac:dyDescent="0.15">
      <c r="C76" s="1414" t="s">
        <v>590</v>
      </c>
      <c r="D76" s="1414"/>
      <c r="E76" s="1448"/>
      <c r="F76" s="455" t="s">
        <v>271</v>
      </c>
      <c r="G76" s="455" t="s">
        <v>272</v>
      </c>
      <c r="H76" s="663"/>
      <c r="I76" s="454"/>
    </row>
    <row r="77" spans="1:10" ht="33" customHeight="1" x14ac:dyDescent="0.15">
      <c r="B77" s="512">
        <v>35</v>
      </c>
      <c r="C77" s="1450" t="s">
        <v>565</v>
      </c>
      <c r="D77" s="1450"/>
      <c r="E77" s="1450"/>
      <c r="F77" s="517"/>
      <c r="G77" s="517"/>
      <c r="H77" s="662" t="str">
        <f>IF($I$71=1,IF(I77=0,"RISPOSTA OBBLIGATORIA"," "),IF(OR($I$71=2,$F$74&gt;0),"LA RISPOSTA DATA IN QUESTA SEZIONE NON VERRA' CONSIDERATA",IF(I77&gt;0,"RISPONDERE ALLA DOMANDA 31"," ")))</f>
        <v xml:space="preserve"> </v>
      </c>
      <c r="I77" s="454">
        <v>0</v>
      </c>
      <c r="J77" s="480" t="str">
        <f>IF(I77=1,"VERO",IF(I77=2,"FALSO",""))</f>
        <v/>
      </c>
    </row>
    <row r="78" spans="1:10" ht="9.6" customHeight="1" x14ac:dyDescent="0.15">
      <c r="C78" s="1450"/>
      <c r="D78" s="1450"/>
      <c r="E78" s="1450"/>
      <c r="H78" s="664"/>
      <c r="I78" s="454"/>
    </row>
    <row r="79" spans="1:10" ht="33" customHeight="1" x14ac:dyDescent="0.15">
      <c r="B79" s="512">
        <v>36</v>
      </c>
      <c r="C79" s="1450" t="s">
        <v>566</v>
      </c>
      <c r="D79" s="1450"/>
      <c r="E79" s="1450"/>
      <c r="F79" s="517"/>
      <c r="G79" s="517"/>
      <c r="H79" s="662" t="str">
        <f>IF($I$71=1,IF(I79=0,"RISPOSTA OBBLIGATORIA"," "),IF(OR($I$71=2,$F$74&gt;0),"LA RISPOSTA DATA IN QUESTA SEZIONE NON VERRA' CONSIDERATA",IF(I79&gt;0,"RISPONDERE ALLA DOMANDA 31"," ")))</f>
        <v xml:space="preserve"> </v>
      </c>
      <c r="I79" s="454">
        <v>0</v>
      </c>
      <c r="J79" s="480" t="str">
        <f>IF(I79=1,"VERO",IF(I79=2,"FALSO",""))</f>
        <v/>
      </c>
    </row>
    <row r="80" spans="1:10" ht="9.6" customHeight="1" x14ac:dyDescent="0.15">
      <c r="C80" s="1450"/>
      <c r="D80" s="1450"/>
      <c r="E80" s="1450"/>
      <c r="H80" s="664"/>
      <c r="I80" s="454"/>
    </row>
    <row r="81" spans="1:10" ht="33" customHeight="1" x14ac:dyDescent="0.15">
      <c r="B81" s="512">
        <v>37</v>
      </c>
      <c r="C81" s="1450" t="s">
        <v>567</v>
      </c>
      <c r="D81" s="1450"/>
      <c r="E81" s="1450"/>
      <c r="F81" s="517"/>
      <c r="G81" s="517"/>
      <c r="H81" s="662" t="str">
        <f>IF($I$71=1,IF(I81=0,"RISPOSTA OBBLIGATORIA"," "),IF(OR($I$71=2,$F$74&gt;0),"LA RISPOSTA DATA IN QUESTA SEZIONE NON VERRA' CONSIDERATA",IF(I81&gt;0,"RISPONDERE ALLA DOMANDA 31"," ")))</f>
        <v xml:space="preserve"> </v>
      </c>
      <c r="I81" s="454">
        <v>0</v>
      </c>
      <c r="J81" s="480" t="str">
        <f>IF(I81=1,"VERO",IF(I81=2,"FALSO",""))</f>
        <v/>
      </c>
    </row>
    <row r="82" spans="1:10" ht="9.6" customHeight="1" x14ac:dyDescent="0.15">
      <c r="C82" s="1450"/>
      <c r="D82" s="1450"/>
      <c r="E82" s="1450"/>
      <c r="H82" s="664"/>
      <c r="I82" s="454"/>
    </row>
    <row r="83" spans="1:10" ht="33" customHeight="1" x14ac:dyDescent="0.15">
      <c r="B83" s="512">
        <v>38</v>
      </c>
      <c r="C83" s="1450" t="s">
        <v>568</v>
      </c>
      <c r="D83" s="1450"/>
      <c r="E83" s="1450"/>
      <c r="F83" s="517"/>
      <c r="G83" s="517"/>
      <c r="H83" s="662" t="str">
        <f>IF($I$71=1,IF(I83=0,"RISPOSTA OBBLIGATORIA"," "),IF(OR($I$71=2,$F$74&gt;0),"LA RISPOSTA DATA IN QUESTA SEZIONE NON VERRA' CONSIDERATA",IF(I83&gt;0,"RISPONDERE ALLA DOMANDA 31"," ")))</f>
        <v xml:space="preserve"> </v>
      </c>
      <c r="I83" s="454">
        <v>0</v>
      </c>
      <c r="J83" s="480" t="str">
        <f>IF(I83=1,"VERO",IF(I83=2,"FALSO",""))</f>
        <v/>
      </c>
    </row>
    <row r="84" spans="1:10" ht="9.6" customHeight="1" x14ac:dyDescent="0.15">
      <c r="A84" s="556"/>
      <c r="B84" s="671"/>
      <c r="C84" s="1450"/>
      <c r="D84" s="1450"/>
      <c r="E84" s="1450"/>
      <c r="F84" s="558"/>
      <c r="G84" s="557"/>
      <c r="H84" s="674"/>
      <c r="I84" s="454"/>
    </row>
    <row r="85" spans="1:10" ht="33" customHeight="1" x14ac:dyDescent="0.15">
      <c r="B85" s="512">
        <v>39</v>
      </c>
      <c r="C85" s="1450" t="s">
        <v>569</v>
      </c>
      <c r="D85" s="1450"/>
      <c r="E85" s="1450"/>
      <c r="F85" s="517"/>
      <c r="G85" s="517"/>
      <c r="H85" s="662" t="str">
        <f>IF($I$71=1,IF(I85=0,"RISPOSTA OBBLIGATORIA"," "),IF(OR($I$71=2,$F$74&gt;0),"LA RISPOSTA DATA IN QUESTA SEZIONE NON VERRA' CONSIDERATA",IF(I85&gt;0,"RISPONDERE ALLA DOMANDA 31"," ")))</f>
        <v xml:space="preserve"> </v>
      </c>
      <c r="I85" s="454">
        <v>0</v>
      </c>
      <c r="J85" s="480" t="str">
        <f>IF(I85=1,"VERO",IF(I85=2,"FALSO",""))</f>
        <v/>
      </c>
    </row>
    <row r="86" spans="1:10" ht="9.6" customHeight="1" x14ac:dyDescent="0.15">
      <c r="C86" s="1450"/>
      <c r="D86" s="1450"/>
      <c r="E86" s="1450"/>
      <c r="H86" s="664"/>
      <c r="I86" s="454"/>
    </row>
    <row r="87" spans="1:10" ht="33" customHeight="1" x14ac:dyDescent="0.15">
      <c r="B87" s="512">
        <v>40</v>
      </c>
      <c r="C87" s="1450" t="s">
        <v>570</v>
      </c>
      <c r="D87" s="1450"/>
      <c r="E87" s="1450"/>
      <c r="F87" s="517"/>
      <c r="G87" s="517"/>
      <c r="H87" s="662" t="str">
        <f>IF($I$71=1,IF(I87=0,"RISPOSTA OBBLIGATORIA"," "),IF(OR($I$71=2,$F$74&gt;0),"LA RISPOSTA DATA IN QUESTA SEZIONE NON VERRA' CONSIDERATA",IF(I87&gt;0,"RISPONDERE ALLA DOMANDA 31"," ")))</f>
        <v xml:space="preserve"> </v>
      </c>
      <c r="I87" s="454">
        <v>0</v>
      </c>
      <c r="J87" s="480" t="str">
        <f>IF(I87=1,"VERO",IF(I87=2,"FALSO",""))</f>
        <v/>
      </c>
    </row>
    <row r="88" spans="1:10" ht="9.6" customHeight="1" x14ac:dyDescent="0.15">
      <c r="C88" s="1450"/>
      <c r="D88" s="1450"/>
      <c r="E88" s="1450"/>
      <c r="H88" s="664"/>
      <c r="I88" s="454"/>
    </row>
    <row r="89" spans="1:10" ht="36.950000000000003" customHeight="1" x14ac:dyDescent="0.15">
      <c r="B89" s="512">
        <v>41</v>
      </c>
      <c r="C89" s="1450" t="s">
        <v>571</v>
      </c>
      <c r="D89" s="1450"/>
      <c r="E89" s="1450"/>
      <c r="F89" s="517"/>
      <c r="G89" s="517"/>
      <c r="H89" s="662" t="str">
        <f>IF($I$71=1,IF(I89=0,"RISPOSTA OBBLIGATORIA"," "),IF(OR($I$71=2,$F$74&gt;0),"LA RISPOSTA DATA IN QUESTA SEZIONE NON VERRA' CONSIDERATA",IF(I89&gt;0,"RISPONDERE ALLA DOMANDA 31"," ")))</f>
        <v xml:space="preserve"> </v>
      </c>
      <c r="I89" s="454">
        <v>0</v>
      </c>
      <c r="J89" s="480" t="str">
        <f>IF(I89=1,"VERO",IF(I89=2,"FALSO",""))</f>
        <v/>
      </c>
    </row>
    <row r="90" spans="1:10" ht="9.6" customHeight="1" x14ac:dyDescent="0.15">
      <c r="C90" s="1450"/>
      <c r="D90" s="1450"/>
      <c r="E90" s="1450"/>
      <c r="H90" s="664"/>
      <c r="I90" s="454"/>
    </row>
    <row r="91" spans="1:10" ht="33" customHeight="1" x14ac:dyDescent="0.15">
      <c r="B91" s="512">
        <v>42</v>
      </c>
      <c r="C91" s="1450" t="s">
        <v>572</v>
      </c>
      <c r="D91" s="1450"/>
      <c r="E91" s="1450"/>
      <c r="F91" s="517"/>
      <c r="G91" s="517"/>
      <c r="H91" s="662" t="str">
        <f>IF($I$71=1,IF(I91=0,"RISPOSTA OBBLIGATORIA"," "),IF(OR($I$71=2,$F$74&gt;0),"LA RISPOSTA DATA IN QUESTA SEZIONE NON VERRA' CONSIDERATA",IF(I91&gt;0,"RISPONDERE ALLA DOMANDA 31"," ")))</f>
        <v xml:space="preserve"> </v>
      </c>
      <c r="I91" s="454">
        <v>0</v>
      </c>
      <c r="J91" s="480" t="str">
        <f>IF(I91=1,"VERO",IF(I91=2,"FALSO",""))</f>
        <v/>
      </c>
    </row>
    <row r="92" spans="1:10" ht="9.6" customHeight="1" x14ac:dyDescent="0.15">
      <c r="C92" s="1450"/>
      <c r="D92" s="1450"/>
      <c r="E92" s="1450"/>
      <c r="H92" s="664"/>
      <c r="I92" s="454"/>
    </row>
    <row r="93" spans="1:10" ht="33" customHeight="1" x14ac:dyDescent="0.15">
      <c r="B93" s="512">
        <v>43</v>
      </c>
      <c r="C93" s="1450" t="s">
        <v>573</v>
      </c>
      <c r="D93" s="1450"/>
      <c r="E93" s="1450"/>
      <c r="F93" s="517"/>
      <c r="G93" s="517"/>
      <c r="H93" s="662" t="str">
        <f>IF($I$71=1,IF(I93=0,"RISPOSTA OBBLIGATORIA"," "),IF(OR($I$71=2,$F$74&gt;0),"LA RISPOSTA DATA IN QUESTA SEZIONE NON VERRA' CONSIDERATA",IF(I93&gt;0,"RISPONDERE ALLA DOMANDA 31"," ")))</f>
        <v xml:space="preserve"> </v>
      </c>
      <c r="I93" s="454">
        <v>0</v>
      </c>
      <c r="J93" s="480" t="str">
        <f>IF(I93=1,"VERO",IF(I93=2,"FALSO",""))</f>
        <v/>
      </c>
    </row>
    <row r="94" spans="1:10" ht="9.6" customHeight="1" x14ac:dyDescent="0.15">
      <c r="C94" s="1450"/>
      <c r="D94" s="1450"/>
      <c r="E94" s="1450"/>
      <c r="H94" s="664"/>
      <c r="I94" s="454"/>
    </row>
    <row r="95" spans="1:10" ht="38.450000000000003" customHeight="1" x14ac:dyDescent="0.15">
      <c r="B95" s="512">
        <v>44</v>
      </c>
      <c r="C95" s="1450" t="s">
        <v>591</v>
      </c>
      <c r="D95" s="1450"/>
      <c r="E95" s="1450"/>
      <c r="F95" s="517"/>
      <c r="G95" s="517"/>
      <c r="H95" s="662" t="str">
        <f>IF($I$71=1,IF(I95=0,"RISPOSTA OBBLIGATORIA"," "),IF(OR($I$71=2,$F$74&gt;0),"LA RISPOSTA DATA IN QUESTA SEZIONE NON VERRA' CONSIDERATA",IF(I95&gt;0,"RISPONDERE ALLA DOMANDA 31"," ")))</f>
        <v xml:space="preserve"> </v>
      </c>
      <c r="I95" s="454">
        <v>0</v>
      </c>
      <c r="J95" s="480" t="str">
        <f>IF(I95=1,"VERO",IF(I95=2,"FALSO",""))</f>
        <v/>
      </c>
    </row>
    <row r="96" spans="1:10" ht="9.6" customHeight="1" x14ac:dyDescent="0.15">
      <c r="C96" s="1450"/>
      <c r="D96" s="1450"/>
      <c r="E96" s="1450"/>
      <c r="H96" s="664"/>
      <c r="I96" s="454"/>
    </row>
    <row r="97" spans="1:10" ht="33" customHeight="1" x14ac:dyDescent="0.15">
      <c r="B97" s="512">
        <v>45</v>
      </c>
      <c r="C97" s="1450" t="s">
        <v>574</v>
      </c>
      <c r="D97" s="1450"/>
      <c r="E97" s="1450"/>
      <c r="F97" s="675"/>
      <c r="G97" s="675"/>
      <c r="H97" s="662" t="str">
        <f>IF($I$71=1,IF(I97=0,"RISPOSTA OBBLIGATORIA"," "),IF(OR($I$71=2,$F$74&gt;0),"LA RISPOSTA DATA IN QUESTA SEZIONE NON VERRA' CONSIDERATA",IF(I97&gt;0,"RISPONDERE ALLA DOMANDA 31"," ")))</f>
        <v xml:space="preserve"> </v>
      </c>
      <c r="I97" s="454">
        <v>0</v>
      </c>
      <c r="J97" s="480" t="str">
        <f>IF(I97=1,"VERO",IF(I97=2,"FALSO",""))</f>
        <v/>
      </c>
    </row>
    <row r="98" spans="1:10" ht="9.6" customHeight="1" thickBot="1" x14ac:dyDescent="0.2">
      <c r="A98" s="513"/>
      <c r="B98" s="514"/>
      <c r="C98" s="1451"/>
      <c r="D98" s="1451"/>
      <c r="E98" s="1451"/>
      <c r="F98" s="514"/>
      <c r="G98" s="514"/>
      <c r="H98" s="676"/>
      <c r="I98" s="454"/>
    </row>
    <row r="99" spans="1:10" ht="9.6" customHeight="1" x14ac:dyDescent="0.15">
      <c r="C99" s="1450"/>
      <c r="D99" s="1450"/>
      <c r="E99" s="1450"/>
      <c r="H99" s="664"/>
      <c r="I99" s="454"/>
    </row>
    <row r="100" spans="1:10" ht="15" customHeight="1" x14ac:dyDescent="0.15">
      <c r="A100" s="1453" t="s">
        <v>596</v>
      </c>
      <c r="B100" s="1454"/>
      <c r="C100" s="1454"/>
      <c r="D100" s="670"/>
      <c r="E100" s="670"/>
      <c r="H100" s="664"/>
      <c r="I100" s="454"/>
    </row>
    <row r="101" spans="1:10" ht="9.6" customHeight="1" x14ac:dyDescent="0.15">
      <c r="C101" s="670"/>
      <c r="D101" s="670"/>
      <c r="E101" s="670"/>
      <c r="H101" s="664"/>
      <c r="I101" s="454"/>
    </row>
    <row r="102" spans="1:10" ht="15" customHeight="1" x14ac:dyDescent="0.15">
      <c r="F102" s="455" t="s">
        <v>271</v>
      </c>
      <c r="G102" s="455" t="s">
        <v>272</v>
      </c>
      <c r="H102" s="663"/>
      <c r="I102" s="454"/>
    </row>
    <row r="103" spans="1:10" ht="30" customHeight="1" x14ac:dyDescent="0.15">
      <c r="A103" s="511" t="s">
        <v>597</v>
      </c>
      <c r="B103" s="1390" t="s">
        <v>587</v>
      </c>
      <c r="C103" s="1390"/>
      <c r="D103" s="1390"/>
      <c r="E103" s="1391"/>
      <c r="F103" s="431"/>
      <c r="G103" s="431"/>
      <c r="H103" s="568"/>
      <c r="I103" s="454">
        <v>0</v>
      </c>
      <c r="J103" s="480" t="str">
        <f>IF(I103=1,"VERO",IF(I103=2,"FALSO",""))</f>
        <v/>
      </c>
    </row>
    <row r="104" spans="1:10" ht="15.6" customHeight="1" x14ac:dyDescent="0.15">
      <c r="A104" s="556"/>
      <c r="B104" s="671"/>
      <c r="C104" s="671"/>
      <c r="D104" s="671"/>
      <c r="E104" s="671"/>
      <c r="F104" s="671"/>
      <c r="G104" s="671"/>
      <c r="H104" s="662"/>
      <c r="I104" s="454"/>
    </row>
    <row r="105" spans="1:10" ht="15" customHeight="1" x14ac:dyDescent="0.15">
      <c r="F105" s="455" t="s">
        <v>588</v>
      </c>
      <c r="H105" s="663"/>
      <c r="I105" s="454"/>
    </row>
    <row r="106" spans="1:10" ht="30" customHeight="1" x14ac:dyDescent="0.15">
      <c r="A106" s="511" t="s">
        <v>598</v>
      </c>
      <c r="C106" s="1414" t="s">
        <v>589</v>
      </c>
      <c r="D106" s="1414"/>
      <c r="E106" s="1448"/>
      <c r="F106" s="457"/>
      <c r="G106" s="1406" t="str">
        <f>IF($I$103=2,IF($F$106=0,"RISPOSTA OBBLIGATORIA"," "),IF(AND(I103=1,F106&gt;0),"LA RISPOSTA DATA IN QUESTA SEZIONE NON VERRA' CONSIDERATA",IF(F106&gt;0,"RISPONDERE NO ALLA DOMANDA 46"," ")))</f>
        <v xml:space="preserve"> </v>
      </c>
      <c r="H106" s="1449"/>
      <c r="I106" s="454"/>
    </row>
    <row r="107" spans="1:10" ht="14.45" customHeight="1" x14ac:dyDescent="0.15">
      <c r="A107" s="556"/>
      <c r="B107" s="671"/>
      <c r="C107" s="671"/>
      <c r="D107" s="671"/>
      <c r="E107" s="671"/>
      <c r="F107" s="671"/>
      <c r="G107" s="671"/>
      <c r="H107" s="662"/>
      <c r="I107" s="454"/>
    </row>
    <row r="108" spans="1:10" ht="30" customHeight="1" x14ac:dyDescent="0.15">
      <c r="C108" s="1414" t="s">
        <v>590</v>
      </c>
      <c r="D108" s="1414"/>
      <c r="E108" s="1448"/>
      <c r="F108" s="455" t="s">
        <v>271</v>
      </c>
      <c r="G108" s="455" t="s">
        <v>272</v>
      </c>
      <c r="H108" s="663"/>
      <c r="I108" s="454"/>
    </row>
    <row r="109" spans="1:10" ht="33" customHeight="1" x14ac:dyDescent="0.15">
      <c r="B109" s="512">
        <v>50</v>
      </c>
      <c r="C109" s="1450" t="s">
        <v>565</v>
      </c>
      <c r="D109" s="1450"/>
      <c r="E109" s="1450"/>
      <c r="F109" s="517"/>
      <c r="G109" s="517"/>
      <c r="H109" s="662" t="str">
        <f>IF($I$103=1,IF(I109=0,"RISPOSTA OBBLIGATORIA"," "),IF(OR($I$103=2,$F$106&gt;0),"LA RISPOSTA DATA IN QUESTA SEZIONE NON VERRA' CONSIDERATA",IF(I109&gt;0,"RISPONDERE ALLA DOMANDA 46"," ")))</f>
        <v xml:space="preserve"> </v>
      </c>
      <c r="I109" s="454">
        <v>0</v>
      </c>
      <c r="J109" s="480" t="str">
        <f>IF(I109=1,"VERO",IF(I109=2,"FALSO",""))</f>
        <v/>
      </c>
    </row>
    <row r="110" spans="1:10" ht="9.6" customHeight="1" x14ac:dyDescent="0.15">
      <c r="C110" s="1450"/>
      <c r="D110" s="1450"/>
      <c r="E110" s="1450"/>
      <c r="H110" s="664"/>
      <c r="I110" s="454"/>
    </row>
    <row r="111" spans="1:10" ht="33" customHeight="1" x14ac:dyDescent="0.15">
      <c r="B111" s="512">
        <v>51</v>
      </c>
      <c r="C111" s="1450" t="s">
        <v>566</v>
      </c>
      <c r="D111" s="1450"/>
      <c r="E111" s="1450"/>
      <c r="F111" s="517"/>
      <c r="G111" s="517"/>
      <c r="H111" s="662" t="str">
        <f>IF($I$103=1,IF(I111=0,"RISPOSTA OBBLIGATORIA"," "),IF(OR($I$103=2,$F$106&gt;0),"LA RISPOSTA DATA IN QUESTA SEZIONE NON VERRA' CONSIDERATA",IF(I111&gt;0,"RISPONDERE ALLA DOMANDA 46"," ")))</f>
        <v xml:space="preserve"> </v>
      </c>
      <c r="I111" s="454">
        <v>0</v>
      </c>
      <c r="J111" s="480" t="str">
        <f>IF(I111=1,"VERO",IF(I111=2,"FALSO",""))</f>
        <v/>
      </c>
    </row>
    <row r="112" spans="1:10" ht="9.6" customHeight="1" x14ac:dyDescent="0.15">
      <c r="C112" s="1450"/>
      <c r="D112" s="1450"/>
      <c r="E112" s="1450"/>
      <c r="H112" s="664"/>
      <c r="I112" s="454"/>
    </row>
    <row r="113" spans="1:10" ht="33" customHeight="1" x14ac:dyDescent="0.15">
      <c r="B113" s="512">
        <v>52</v>
      </c>
      <c r="C113" s="1450" t="s">
        <v>567</v>
      </c>
      <c r="D113" s="1450"/>
      <c r="E113" s="1450"/>
      <c r="F113" s="517"/>
      <c r="G113" s="517"/>
      <c r="H113" s="662" t="str">
        <f>IF($I$103=1,IF(I113=0,"RISPOSTA OBBLIGATORIA"," "),IF(OR($I$103=2,$F$106&gt;0),"LA RISPOSTA DATA IN QUESTA SEZIONE NON VERRA' CONSIDERATA",IF(I113&gt;0,"RISPONDERE ALLA DOMANDA 46"," ")))</f>
        <v xml:space="preserve"> </v>
      </c>
      <c r="I113" s="454">
        <v>0</v>
      </c>
      <c r="J113" s="480" t="str">
        <f>IF(I113=1,"VERO",IF(I113=2,"FALSO",""))</f>
        <v/>
      </c>
    </row>
    <row r="114" spans="1:10" ht="9.6" customHeight="1" x14ac:dyDescent="0.15">
      <c r="C114" s="1450"/>
      <c r="D114" s="1450"/>
      <c r="E114" s="1450"/>
      <c r="H114" s="664"/>
      <c r="I114" s="454"/>
    </row>
    <row r="115" spans="1:10" ht="33" customHeight="1" x14ac:dyDescent="0.15">
      <c r="B115" s="512">
        <v>53</v>
      </c>
      <c r="C115" s="1450" t="s">
        <v>568</v>
      </c>
      <c r="D115" s="1450"/>
      <c r="E115" s="1450"/>
      <c r="F115" s="517"/>
      <c r="G115" s="517"/>
      <c r="H115" s="662" t="str">
        <f>IF($I$103=1,IF(I115=0,"RISPOSTA OBBLIGATORIA"," "),IF(OR($I$103=2,$F$106&gt;0),"LA RISPOSTA DATA IN QUESTA SEZIONE NON VERRA' CONSIDERATA",IF(I115&gt;0,"RISPONDERE ALLA DOMANDA 46"," ")))</f>
        <v xml:space="preserve"> </v>
      </c>
      <c r="I115" s="454">
        <v>0</v>
      </c>
      <c r="J115" s="480" t="str">
        <f>IF(I115=1,"VERO",IF(I115=2,"FALSO",""))</f>
        <v/>
      </c>
    </row>
    <row r="116" spans="1:10" ht="9.6" customHeight="1" x14ac:dyDescent="0.15">
      <c r="A116" s="556"/>
      <c r="B116" s="671"/>
      <c r="C116" s="1450"/>
      <c r="D116" s="1450"/>
      <c r="E116" s="1450"/>
      <c r="F116" s="558"/>
      <c r="G116" s="557"/>
      <c r="H116" s="674"/>
      <c r="I116" s="454"/>
    </row>
    <row r="117" spans="1:10" ht="33" customHeight="1" x14ac:dyDescent="0.15">
      <c r="B117" s="512">
        <v>54</v>
      </c>
      <c r="C117" s="1450" t="s">
        <v>569</v>
      </c>
      <c r="D117" s="1450"/>
      <c r="E117" s="1450"/>
      <c r="F117" s="517"/>
      <c r="G117" s="517"/>
      <c r="H117" s="662" t="str">
        <f>IF($I$103=1,IF(I117=0,"RISPOSTA OBBLIGATORIA"," "),IF(OR($I$103=2,$F$106&gt;0),"LA RISPOSTA DATA IN QUESTA SEZIONE NON VERRA' CONSIDERATA",IF(I117&gt;0,"RISPONDERE ALLA DOMANDA 46"," ")))</f>
        <v xml:space="preserve"> </v>
      </c>
      <c r="I117" s="454">
        <v>0</v>
      </c>
      <c r="J117" s="480" t="str">
        <f>IF(I117=1,"VERO",IF(I117=2,"FALSO",""))</f>
        <v/>
      </c>
    </row>
    <row r="118" spans="1:10" ht="9.6" customHeight="1" x14ac:dyDescent="0.15">
      <c r="C118" s="1450"/>
      <c r="D118" s="1450"/>
      <c r="E118" s="1450"/>
      <c r="H118" s="664"/>
      <c r="I118" s="454"/>
    </row>
    <row r="119" spans="1:10" ht="33" customHeight="1" x14ac:dyDescent="0.15">
      <c r="B119" s="512">
        <v>55</v>
      </c>
      <c r="C119" s="1450" t="s">
        <v>570</v>
      </c>
      <c r="D119" s="1450"/>
      <c r="E119" s="1450"/>
      <c r="F119" s="517"/>
      <c r="G119" s="517"/>
      <c r="H119" s="662" t="str">
        <f>IF($I$103=1,IF(I119=0,"RISPOSTA OBBLIGATORIA"," "),IF(OR($I$103=2,$F$106&gt;0),"LA RISPOSTA DATA IN QUESTA SEZIONE NON VERRA' CONSIDERATA",IF(I119&gt;0,"RISPONDERE ALLA DOMANDA 46"," ")))</f>
        <v xml:space="preserve"> </v>
      </c>
      <c r="I119" s="454">
        <v>0</v>
      </c>
      <c r="J119" s="480" t="str">
        <f>IF(I119=1,"VERO",IF(I119=2,"FALSO",""))</f>
        <v/>
      </c>
    </row>
    <row r="120" spans="1:10" ht="9.6" customHeight="1" x14ac:dyDescent="0.15">
      <c r="C120" s="1450"/>
      <c r="D120" s="1450"/>
      <c r="E120" s="1450"/>
      <c r="H120" s="664"/>
      <c r="I120" s="454"/>
    </row>
    <row r="121" spans="1:10" ht="36.950000000000003" customHeight="1" x14ac:dyDescent="0.15">
      <c r="B121" s="512">
        <v>56</v>
      </c>
      <c r="C121" s="1450" t="s">
        <v>571</v>
      </c>
      <c r="D121" s="1450"/>
      <c r="E121" s="1450"/>
      <c r="F121" s="517"/>
      <c r="G121" s="517"/>
      <c r="H121" s="662" t="str">
        <f>IF($I$103=1,IF(I121=0,"RISPOSTA OBBLIGATORIA"," "),IF(OR($I$103=2,$F$106&gt;0),"LA RISPOSTA DATA IN QUESTA SEZIONE NON VERRA' CONSIDERATA",IF(I121&gt;0,"RISPONDERE ALLA DOMANDA 46"," ")))</f>
        <v xml:space="preserve"> </v>
      </c>
      <c r="I121" s="454">
        <v>0</v>
      </c>
      <c r="J121" s="480" t="str">
        <f>IF(I121=1,"VERO",IF(I121=2,"FALSO",""))</f>
        <v/>
      </c>
    </row>
    <row r="122" spans="1:10" ht="9.6" customHeight="1" x14ac:dyDescent="0.15">
      <c r="C122" s="1450"/>
      <c r="D122" s="1450"/>
      <c r="E122" s="1450"/>
      <c r="H122" s="664"/>
      <c r="I122" s="454"/>
    </row>
    <row r="123" spans="1:10" ht="33" customHeight="1" x14ac:dyDescent="0.15">
      <c r="B123" s="512">
        <v>57</v>
      </c>
      <c r="C123" s="1450" t="s">
        <v>572</v>
      </c>
      <c r="D123" s="1450"/>
      <c r="E123" s="1450"/>
      <c r="F123" s="517"/>
      <c r="G123" s="517"/>
      <c r="H123" s="662" t="str">
        <f>IF($I$103=1,IF(I123=0,"RISPOSTA OBBLIGATORIA"," "),IF(OR($I$103=2,$F$106&gt;0),"LA RISPOSTA DATA IN QUESTA SEZIONE NON VERRA' CONSIDERATA",IF(I123&gt;0,"RISPONDERE ALLA DOMANDA 46"," ")))</f>
        <v xml:space="preserve"> </v>
      </c>
      <c r="I123" s="454">
        <v>0</v>
      </c>
      <c r="J123" s="480" t="str">
        <f>IF(I123=1,"VERO",IF(I123=2,"FALSO",""))</f>
        <v/>
      </c>
    </row>
    <row r="124" spans="1:10" ht="9.6" customHeight="1" x14ac:dyDescent="0.15">
      <c r="C124" s="1450"/>
      <c r="D124" s="1450"/>
      <c r="E124" s="1450"/>
      <c r="H124" s="664"/>
      <c r="I124" s="454"/>
    </row>
    <row r="125" spans="1:10" ht="33" customHeight="1" x14ac:dyDescent="0.15">
      <c r="B125" s="512">
        <v>58</v>
      </c>
      <c r="C125" s="1450" t="s">
        <v>573</v>
      </c>
      <c r="D125" s="1450"/>
      <c r="E125" s="1450"/>
      <c r="F125" s="517"/>
      <c r="G125" s="517"/>
      <c r="H125" s="662" t="str">
        <f>IF($I$103=1,IF(I125=0,"RISPOSTA OBBLIGATORIA"," "),IF(OR($I$103=2,$F$106&gt;0),"LA RISPOSTA DATA IN QUESTA SEZIONE NON VERRA' CONSIDERATA",IF(I125&gt;0,"RISPONDERE ALLA DOMANDA 46"," ")))</f>
        <v xml:space="preserve"> </v>
      </c>
      <c r="I125" s="454">
        <v>0</v>
      </c>
      <c r="J125" s="480" t="str">
        <f>IF(I125=1,"VERO",IF(I125=2,"FALSO",""))</f>
        <v/>
      </c>
    </row>
    <row r="126" spans="1:10" ht="9.6" customHeight="1" x14ac:dyDescent="0.15">
      <c r="C126" s="1450"/>
      <c r="D126" s="1450"/>
      <c r="E126" s="1450"/>
      <c r="H126" s="664"/>
      <c r="I126" s="454"/>
    </row>
    <row r="127" spans="1:10" ht="38.450000000000003" customHeight="1" x14ac:dyDescent="0.15">
      <c r="B127" s="512">
        <v>59</v>
      </c>
      <c r="C127" s="1450" t="s">
        <v>591</v>
      </c>
      <c r="D127" s="1450"/>
      <c r="E127" s="1450"/>
      <c r="F127" s="517"/>
      <c r="G127" s="517"/>
      <c r="H127" s="662" t="str">
        <f>IF($I$103=1,IF(I127=0,"RISPOSTA OBBLIGATORIA"," "),IF(OR($I$103=2,$F$106&gt;0),"LA RISPOSTA DATA IN QUESTA SEZIONE NON VERRA' CONSIDERATA",IF(I127&gt;0,"RISPONDERE ALLA DOMANDA 46"," ")))</f>
        <v xml:space="preserve"> </v>
      </c>
      <c r="I127" s="454">
        <v>0</v>
      </c>
      <c r="J127" s="480" t="str">
        <f>IF(I127=1,"VERO",IF(I127=2,"FALSO",""))</f>
        <v/>
      </c>
    </row>
    <row r="128" spans="1:10" ht="9.6" customHeight="1" x14ac:dyDescent="0.15">
      <c r="C128" s="1450"/>
      <c r="D128" s="1450"/>
      <c r="E128" s="1450"/>
      <c r="H128" s="664"/>
      <c r="I128" s="454"/>
    </row>
    <row r="129" spans="1:10" ht="33" customHeight="1" x14ac:dyDescent="0.15">
      <c r="B129" s="512">
        <v>60</v>
      </c>
      <c r="C129" s="1450" t="s">
        <v>574</v>
      </c>
      <c r="D129" s="1450"/>
      <c r="E129" s="1450"/>
      <c r="F129" s="675"/>
      <c r="G129" s="675"/>
      <c r="H129" s="662" t="str">
        <f>IF($I$103=1,IF(I129=0,"RISPOSTA OBBLIGATORIA"," "),IF(OR($I$103=2,$F$106&gt;0),"LA RISPOSTA DATA IN QUESTA SEZIONE NON VERRA' CONSIDERATA",IF(I129&gt;0,"RISPONDERE ALLA DOMANDA 46"," ")))</f>
        <v xml:space="preserve"> </v>
      </c>
      <c r="I129" s="454">
        <v>0</v>
      </c>
      <c r="J129" s="480" t="str">
        <f>IF(I129=1,"VERO",IF(I129=2,"FALSO",""))</f>
        <v/>
      </c>
    </row>
    <row r="130" spans="1:10" ht="9.6" customHeight="1" thickBot="1" x14ac:dyDescent="0.2">
      <c r="A130" s="513"/>
      <c r="B130" s="514"/>
      <c r="C130" s="1451"/>
      <c r="D130" s="1451"/>
      <c r="E130" s="1451"/>
      <c r="F130" s="514"/>
      <c r="G130" s="514"/>
      <c r="H130" s="676"/>
      <c r="I130" s="454"/>
    </row>
    <row r="131" spans="1:10" ht="9.6" customHeight="1" x14ac:dyDescent="0.15">
      <c r="C131" s="1450"/>
      <c r="D131" s="1450"/>
      <c r="E131" s="1450"/>
      <c r="H131" s="664"/>
      <c r="I131" s="454"/>
    </row>
    <row r="132" spans="1:10" ht="15" customHeight="1" x14ac:dyDescent="0.15">
      <c r="A132" s="1446" t="s">
        <v>599</v>
      </c>
      <c r="B132" s="1452"/>
      <c r="C132" s="1452"/>
      <c r="D132" s="670"/>
      <c r="E132" s="670"/>
      <c r="H132" s="664"/>
      <c r="I132" s="454"/>
    </row>
    <row r="133" spans="1:10" ht="9.6" customHeight="1" x14ac:dyDescent="0.15">
      <c r="C133" s="670"/>
      <c r="D133" s="670"/>
      <c r="E133" s="670"/>
      <c r="H133" s="664"/>
      <c r="I133" s="454"/>
    </row>
    <row r="134" spans="1:10" ht="15" customHeight="1" x14ac:dyDescent="0.15">
      <c r="F134" s="455" t="s">
        <v>271</v>
      </c>
      <c r="G134" s="455" t="s">
        <v>272</v>
      </c>
      <c r="H134" s="663"/>
      <c r="I134" s="454"/>
    </row>
    <row r="135" spans="1:10" ht="30" customHeight="1" x14ac:dyDescent="0.15">
      <c r="A135" s="511" t="s">
        <v>600</v>
      </c>
      <c r="B135" s="1390" t="s">
        <v>587</v>
      </c>
      <c r="C135" s="1390"/>
      <c r="D135" s="1390"/>
      <c r="E135" s="1391"/>
      <c r="F135" s="431"/>
      <c r="G135" s="431"/>
      <c r="H135" s="568"/>
      <c r="I135" s="454">
        <v>0</v>
      </c>
      <c r="J135" s="480" t="str">
        <f>IF(I135=1,"VERO",IF(I135=2,"FALSO",""))</f>
        <v/>
      </c>
    </row>
    <row r="136" spans="1:10" ht="15.6" customHeight="1" x14ac:dyDescent="0.15">
      <c r="A136" s="556"/>
      <c r="B136" s="671"/>
      <c r="C136" s="671"/>
      <c r="D136" s="671"/>
      <c r="E136" s="671"/>
      <c r="F136" s="671"/>
      <c r="G136" s="671"/>
      <c r="H136" s="662"/>
      <c r="I136" s="454"/>
    </row>
    <row r="137" spans="1:10" ht="15" customHeight="1" x14ac:dyDescent="0.15">
      <c r="F137" s="455" t="s">
        <v>588</v>
      </c>
      <c r="H137" s="663"/>
      <c r="I137" s="454"/>
    </row>
    <row r="138" spans="1:10" ht="30" customHeight="1" x14ac:dyDescent="0.15">
      <c r="A138" s="511" t="s">
        <v>601</v>
      </c>
      <c r="C138" s="1414" t="s">
        <v>589</v>
      </c>
      <c r="D138" s="1414"/>
      <c r="E138" s="1448"/>
      <c r="F138" s="457"/>
      <c r="G138" s="1406" t="str">
        <f>IF($I$135=2,IF($F$138=0,"RISPOSTA OBBLIGATORIA"," "),IF(AND(I7=125,F138&gt;0),"LA RISPOSTA DATA IN QUESTA SEZIONE NON VERRA' CONSIDERATA",IF(F138&gt;0,"RISPONDERE NO ALLA DOMANDA 61"," ")))</f>
        <v xml:space="preserve"> </v>
      </c>
      <c r="H138" s="1449"/>
      <c r="I138" s="454"/>
    </row>
    <row r="139" spans="1:10" ht="14.45" customHeight="1" x14ac:dyDescent="0.15">
      <c r="A139" s="556"/>
      <c r="B139" s="671"/>
      <c r="C139" s="671"/>
      <c r="D139" s="671"/>
      <c r="E139" s="671"/>
      <c r="F139" s="671"/>
      <c r="G139" s="671"/>
      <c r="H139" s="662"/>
      <c r="I139" s="454"/>
    </row>
    <row r="140" spans="1:10" ht="30" customHeight="1" x14ac:dyDescent="0.15">
      <c r="C140" s="1414" t="s">
        <v>590</v>
      </c>
      <c r="D140" s="1414"/>
      <c r="E140" s="1448"/>
      <c r="F140" s="455" t="s">
        <v>271</v>
      </c>
      <c r="G140" s="455" t="s">
        <v>272</v>
      </c>
      <c r="H140" s="663"/>
      <c r="I140" s="454"/>
    </row>
    <row r="141" spans="1:10" ht="33" customHeight="1" x14ac:dyDescent="0.15">
      <c r="B141" s="512">
        <v>65</v>
      </c>
      <c r="C141" s="1450" t="s">
        <v>565</v>
      </c>
      <c r="D141" s="1450"/>
      <c r="E141" s="1450"/>
      <c r="F141" s="517"/>
      <c r="G141" s="517"/>
      <c r="H141" s="662" t="str">
        <f>IF($I$135=1,IF(I141=0,"RISPOSTA OBBLIGATORIA"," "),IF(OR($I$135=2,$F$138&gt;0),"LA RISPOSTA DATA IN QUESTA SEZIONE NON VERRA' CONSIDERATA",IF(I141&gt;0,"RISPONDERE ALLA DOMANDA 61"," ")))</f>
        <v xml:space="preserve"> </v>
      </c>
      <c r="I141" s="454">
        <v>0</v>
      </c>
      <c r="J141" s="480" t="str">
        <f>IF(I141=1,"VERO",IF(I141=2,"FALSO",""))</f>
        <v/>
      </c>
    </row>
    <row r="142" spans="1:10" ht="9.6" customHeight="1" x14ac:dyDescent="0.15">
      <c r="C142" s="1450"/>
      <c r="D142" s="1450"/>
      <c r="E142" s="1450"/>
      <c r="H142" s="664"/>
      <c r="I142" s="454"/>
    </row>
    <row r="143" spans="1:10" ht="33" customHeight="1" x14ac:dyDescent="0.15">
      <c r="B143" s="512">
        <v>66</v>
      </c>
      <c r="C143" s="1450" t="s">
        <v>566</v>
      </c>
      <c r="D143" s="1450"/>
      <c r="E143" s="1450"/>
      <c r="F143" s="517"/>
      <c r="G143" s="517"/>
      <c r="H143" s="662" t="str">
        <f>IF($I$135=1,IF(I143=0,"RISPOSTA OBBLIGATORIA"," "),IF(OR($I$135=2,$F$138&gt;0),"LA RISPOSTA DATA IN QUESTA SEZIONE NON VERRA' CONSIDERATA",IF(I143&gt;0,"RISPONDERE ALLA DOMANDA 61"," ")))</f>
        <v xml:space="preserve"> </v>
      </c>
      <c r="I143" s="454">
        <v>0</v>
      </c>
      <c r="J143" s="480" t="str">
        <f>IF(I143=1,"VERO",IF(I143=2,"FALSO",""))</f>
        <v/>
      </c>
    </row>
    <row r="144" spans="1:10" ht="9.6" customHeight="1" x14ac:dyDescent="0.15">
      <c r="C144" s="1450"/>
      <c r="D144" s="1450"/>
      <c r="E144" s="1450"/>
      <c r="H144" s="664"/>
      <c r="I144" s="454"/>
    </row>
    <row r="145" spans="1:10" ht="33" customHeight="1" x14ac:dyDescent="0.15">
      <c r="B145" s="512">
        <v>67</v>
      </c>
      <c r="C145" s="1450" t="s">
        <v>567</v>
      </c>
      <c r="D145" s="1450"/>
      <c r="E145" s="1450"/>
      <c r="F145" s="517"/>
      <c r="G145" s="517"/>
      <c r="H145" s="662" t="str">
        <f>IF($I$135=1,IF(I145=0,"RISPOSTA OBBLIGATORIA"," "),IF(OR($I$135=2,$F$138&gt;0),"LA RISPOSTA DATA IN QUESTA SEZIONE NON VERRA' CONSIDERATA",IF(I145&gt;0,"RISPONDERE ALLA DOMANDA 61"," ")))</f>
        <v xml:space="preserve"> </v>
      </c>
      <c r="I145" s="454">
        <v>0</v>
      </c>
      <c r="J145" s="480" t="str">
        <f>IF(I145=1,"VERO",IF(I145=2,"FALSO",""))</f>
        <v/>
      </c>
    </row>
    <row r="146" spans="1:10" ht="9.6" customHeight="1" x14ac:dyDescent="0.15">
      <c r="C146" s="1450"/>
      <c r="D146" s="1450"/>
      <c r="E146" s="1450"/>
      <c r="H146" s="664"/>
      <c r="I146" s="454"/>
    </row>
    <row r="147" spans="1:10" ht="33" customHeight="1" x14ac:dyDescent="0.15">
      <c r="B147" s="512">
        <v>68</v>
      </c>
      <c r="C147" s="1450" t="s">
        <v>568</v>
      </c>
      <c r="D147" s="1450"/>
      <c r="E147" s="1450"/>
      <c r="F147" s="517"/>
      <c r="G147" s="517"/>
      <c r="H147" s="662" t="str">
        <f>IF($I$135=1,IF(I147=0,"RISPOSTA OBBLIGATORIA"," "),IF(OR($I$135=2,$F$138&gt;0),"LA RISPOSTA DATA IN QUESTA SEZIONE NON VERRA' CONSIDERATA",IF(I147&gt;0,"RISPONDERE ALLA DOMANDA 61"," ")))</f>
        <v xml:space="preserve"> </v>
      </c>
      <c r="I147" s="454">
        <v>0</v>
      </c>
      <c r="J147" s="480" t="str">
        <f>IF(I147=1,"VERO",IF(I147=2,"FALSO",""))</f>
        <v/>
      </c>
    </row>
    <row r="148" spans="1:10" ht="9.6" customHeight="1" x14ac:dyDescent="0.15">
      <c r="A148" s="556"/>
      <c r="B148" s="671"/>
      <c r="C148" s="1450"/>
      <c r="D148" s="1450"/>
      <c r="E148" s="1450"/>
      <c r="F148" s="558"/>
      <c r="G148" s="557"/>
      <c r="H148" s="674"/>
      <c r="I148" s="454"/>
    </row>
    <row r="149" spans="1:10" ht="33" customHeight="1" x14ac:dyDescent="0.15">
      <c r="B149" s="512">
        <v>69</v>
      </c>
      <c r="C149" s="1450" t="s">
        <v>569</v>
      </c>
      <c r="D149" s="1450"/>
      <c r="E149" s="1450"/>
      <c r="F149" s="517"/>
      <c r="G149" s="517"/>
      <c r="H149" s="662" t="str">
        <f>IF($I$135=1,IF(I149=0,"RISPOSTA OBBLIGATORIA"," "),IF(OR($I$135=2,$F$138&gt;0),"LA RISPOSTA DATA IN QUESTA SEZIONE NON VERRA' CONSIDERATA",IF(I149&gt;0,"RISPONDERE ALLA DOMANDA 61"," ")))</f>
        <v xml:space="preserve"> </v>
      </c>
      <c r="I149" s="454">
        <v>0</v>
      </c>
      <c r="J149" s="480" t="str">
        <f>IF(I149=1,"VERO",IF(I149=2,"FALSO",""))</f>
        <v/>
      </c>
    </row>
    <row r="150" spans="1:10" ht="9.6" customHeight="1" x14ac:dyDescent="0.15">
      <c r="C150" s="1450"/>
      <c r="D150" s="1450"/>
      <c r="E150" s="1450"/>
      <c r="H150" s="664"/>
      <c r="I150" s="454"/>
    </row>
    <row r="151" spans="1:10" ht="33" customHeight="1" x14ac:dyDescent="0.15">
      <c r="B151" s="512">
        <v>70</v>
      </c>
      <c r="C151" s="1450" t="s">
        <v>570</v>
      </c>
      <c r="D151" s="1450"/>
      <c r="E151" s="1450"/>
      <c r="F151" s="517"/>
      <c r="G151" s="517"/>
      <c r="H151" s="662" t="str">
        <f>IF($I$135=1,IF(I151=0,"RISPOSTA OBBLIGATORIA"," "),IF(OR($I$135=2,$F$138&gt;0),"LA RISPOSTA DATA IN QUESTA SEZIONE NON VERRA' CONSIDERATA",IF(I151&gt;0,"RISPONDERE ALLA DOMANDA 61"," ")))</f>
        <v xml:space="preserve"> </v>
      </c>
      <c r="I151" s="454">
        <v>0</v>
      </c>
      <c r="J151" s="480" t="str">
        <f>IF(I151=1,"VERO",IF(I151=2,"FALSO",""))</f>
        <v/>
      </c>
    </row>
    <row r="152" spans="1:10" ht="9.6" customHeight="1" x14ac:dyDescent="0.15">
      <c r="C152" s="1450"/>
      <c r="D152" s="1450"/>
      <c r="E152" s="1450"/>
      <c r="H152" s="664"/>
      <c r="I152" s="454"/>
    </row>
    <row r="153" spans="1:10" ht="36.950000000000003" customHeight="1" x14ac:dyDescent="0.15">
      <c r="B153" s="512">
        <v>71</v>
      </c>
      <c r="C153" s="1450" t="s">
        <v>571</v>
      </c>
      <c r="D153" s="1450"/>
      <c r="E153" s="1450"/>
      <c r="F153" s="517"/>
      <c r="G153" s="517"/>
      <c r="H153" s="662" t="str">
        <f>IF($I$135=1,IF(I153=0,"RISPOSTA OBBLIGATORIA"," "),IF(OR($I$135=2,$F$138&gt;0),"LA RISPOSTA DATA IN QUESTA SEZIONE NON VERRA' CONSIDERATA",IF(I153&gt;0,"RISPONDERE ALLA DOMANDA 61"," ")))</f>
        <v xml:space="preserve"> </v>
      </c>
      <c r="I153" s="454">
        <v>0</v>
      </c>
      <c r="J153" s="480" t="str">
        <f>IF(I153=1,"VERO",IF(I153=2,"FALSO",""))</f>
        <v/>
      </c>
    </row>
    <row r="154" spans="1:10" ht="9.6" customHeight="1" x14ac:dyDescent="0.15">
      <c r="C154" s="1450"/>
      <c r="D154" s="1450"/>
      <c r="E154" s="1450"/>
      <c r="H154" s="664"/>
      <c r="I154" s="454"/>
    </row>
    <row r="155" spans="1:10" ht="33" customHeight="1" x14ac:dyDescent="0.15">
      <c r="B155" s="512">
        <v>72</v>
      </c>
      <c r="C155" s="1450" t="s">
        <v>572</v>
      </c>
      <c r="D155" s="1450"/>
      <c r="E155" s="1450"/>
      <c r="F155" s="517"/>
      <c r="G155" s="517"/>
      <c r="H155" s="662" t="str">
        <f>IF($I$135=1,IF(I155=0,"RISPOSTA OBBLIGATORIA"," "),IF(OR($I$135=2,$F$138&gt;0),"LA RISPOSTA DATA IN QUESTA SEZIONE NON VERRA' CONSIDERATA",IF(I155&gt;0,"RISPONDERE ALLA DOMANDA 61"," ")))</f>
        <v xml:space="preserve"> </v>
      </c>
      <c r="I155" s="454">
        <v>0</v>
      </c>
      <c r="J155" s="480" t="str">
        <f>IF(I155=1,"VERO",IF(I155=2,"FALSO",""))</f>
        <v/>
      </c>
    </row>
    <row r="156" spans="1:10" ht="9.6" customHeight="1" x14ac:dyDescent="0.15">
      <c r="C156" s="1450"/>
      <c r="D156" s="1450"/>
      <c r="E156" s="1450"/>
      <c r="H156" s="664"/>
      <c r="I156" s="454"/>
    </row>
    <row r="157" spans="1:10" ht="33" customHeight="1" x14ac:dyDescent="0.15">
      <c r="B157" s="512">
        <v>73</v>
      </c>
      <c r="C157" s="1450" t="s">
        <v>573</v>
      </c>
      <c r="D157" s="1450"/>
      <c r="E157" s="1450"/>
      <c r="F157" s="517"/>
      <c r="G157" s="517"/>
      <c r="H157" s="662" t="str">
        <f>IF($I$135=1,IF(I157=0,"RISPOSTA OBBLIGATORIA"," "),IF(OR($I$135=2,$F$138&gt;0),"LA RISPOSTA DATA IN QUESTA SEZIONE NON VERRA' CONSIDERATA",IF(I157&gt;0,"RISPONDERE ALLA DOMANDA 61"," ")))</f>
        <v xml:space="preserve"> </v>
      </c>
      <c r="I157" s="454">
        <v>0</v>
      </c>
      <c r="J157" s="480" t="str">
        <f>IF(I157=1,"VERO",IF(I157=2,"FALSO",""))</f>
        <v/>
      </c>
    </row>
    <row r="158" spans="1:10" ht="9.6" customHeight="1" x14ac:dyDescent="0.15">
      <c r="C158" s="1450"/>
      <c r="D158" s="1450"/>
      <c r="E158" s="1450"/>
      <c r="H158" s="664"/>
      <c r="I158" s="454"/>
    </row>
    <row r="159" spans="1:10" ht="38.450000000000003" customHeight="1" x14ac:dyDescent="0.15">
      <c r="B159" s="512">
        <v>74</v>
      </c>
      <c r="C159" s="1450" t="s">
        <v>591</v>
      </c>
      <c r="D159" s="1450"/>
      <c r="E159" s="1450"/>
      <c r="F159" s="517"/>
      <c r="G159" s="517"/>
      <c r="H159" s="662" t="str">
        <f>IF($I$135=1,IF(I159=0,"RISPOSTA OBBLIGATORIA"," "),IF(OR($I$135=2,$F$138&gt;0),"LA RISPOSTA DATA IN QUESTA SEZIONE NON VERRA' CONSIDERATA",IF(I159&gt;0,"RISPONDERE ALLA DOMANDA 61"," ")))</f>
        <v xml:space="preserve"> </v>
      </c>
      <c r="I159" s="454">
        <v>0</v>
      </c>
      <c r="J159" s="480" t="str">
        <f>IF(I159=1,"VERO",IF(I159=2,"FALSO",""))</f>
        <v/>
      </c>
    </row>
    <row r="160" spans="1:10" ht="9.6" customHeight="1" x14ac:dyDescent="0.15">
      <c r="C160" s="1450"/>
      <c r="D160" s="1450"/>
      <c r="E160" s="1450"/>
      <c r="H160" s="664"/>
      <c r="I160" s="454"/>
    </row>
    <row r="161" spans="1:11" ht="33" customHeight="1" x14ac:dyDescent="0.15">
      <c r="B161" s="512">
        <v>75</v>
      </c>
      <c r="C161" s="1450" t="s">
        <v>574</v>
      </c>
      <c r="D161" s="1450"/>
      <c r="E161" s="1450"/>
      <c r="F161" s="675"/>
      <c r="G161" s="675"/>
      <c r="H161" s="662" t="str">
        <f>IF($I$135=1,IF(I161=0,"RISPOSTA OBBLIGATORIA"," "),IF(OR($I$135=2,$F$138&gt;0),"LA RISPOSTA DATA IN QUESTA SEZIONE NON VERRA' CONSIDERATA",IF(I161&gt;0,"RISPONDERE ALLA DOMANDA 61"," ")))</f>
        <v xml:space="preserve"> </v>
      </c>
      <c r="I161" s="454">
        <v>0</v>
      </c>
      <c r="J161" s="480" t="str">
        <f>IF(I161=1,"VERO",IF(I161=2,"FALSO",""))</f>
        <v/>
      </c>
    </row>
    <row r="162" spans="1:11" x14ac:dyDescent="0.15">
      <c r="A162" s="515"/>
      <c r="B162" s="516"/>
      <c r="C162" s="516"/>
      <c r="D162" s="516"/>
      <c r="E162" s="516"/>
      <c r="F162" s="516"/>
      <c r="G162" s="516"/>
      <c r="H162" s="665"/>
      <c r="I162" s="480">
        <f>SUM(I7:I161,F10,F42,F74,F106,F138)</f>
        <v>0</v>
      </c>
    </row>
    <row r="163" spans="1:11" x14ac:dyDescent="0.15">
      <c r="I163" s="569" t="str">
        <f>IF(OR(COUNTIF(J163:K163,"KO")&gt;0),"KO","OK")</f>
        <v>KO</v>
      </c>
      <c r="J163" s="480" t="str">
        <f>IF((I162&gt;0),"OK","KO")</f>
        <v>KO</v>
      </c>
      <c r="K163" s="480" t="str">
        <f>"OK"</f>
        <v>OK</v>
      </c>
    </row>
  </sheetData>
  <sheetProtection password="DD41" sheet="1" formatColumns="0" selectLockedCells="1"/>
  <mergeCells count="138">
    <mergeCell ref="C156:E156"/>
    <mergeCell ref="C157:E157"/>
    <mergeCell ref="C158:E158"/>
    <mergeCell ref="C159:E159"/>
    <mergeCell ref="C160:E160"/>
    <mergeCell ref="C161:E161"/>
    <mergeCell ref="C150:E150"/>
    <mergeCell ref="C151:E151"/>
    <mergeCell ref="C152:E152"/>
    <mergeCell ref="C153:E153"/>
    <mergeCell ref="C154:E154"/>
    <mergeCell ref="C155:E155"/>
    <mergeCell ref="C144:E144"/>
    <mergeCell ref="C145:E145"/>
    <mergeCell ref="C146:E146"/>
    <mergeCell ref="C147:E147"/>
    <mergeCell ref="C148:E148"/>
    <mergeCell ref="C149:E149"/>
    <mergeCell ref="C138:E138"/>
    <mergeCell ref="G138:H138"/>
    <mergeCell ref="C140:E140"/>
    <mergeCell ref="C141:E141"/>
    <mergeCell ref="C142:E142"/>
    <mergeCell ref="C143:E143"/>
    <mergeCell ref="C128:E128"/>
    <mergeCell ref="C129:E129"/>
    <mergeCell ref="C130:E130"/>
    <mergeCell ref="C131:E131"/>
    <mergeCell ref="A132:C132"/>
    <mergeCell ref="B135:E135"/>
    <mergeCell ref="C122:E122"/>
    <mergeCell ref="C123:E123"/>
    <mergeCell ref="C124:E124"/>
    <mergeCell ref="C125:E125"/>
    <mergeCell ref="C126:E126"/>
    <mergeCell ref="C127:E127"/>
    <mergeCell ref="C116:E116"/>
    <mergeCell ref="C117:E117"/>
    <mergeCell ref="C118:E118"/>
    <mergeCell ref="C119:E119"/>
    <mergeCell ref="C120:E120"/>
    <mergeCell ref="C121:E121"/>
    <mergeCell ref="C110:E110"/>
    <mergeCell ref="C111:E111"/>
    <mergeCell ref="C112:E112"/>
    <mergeCell ref="C113:E113"/>
    <mergeCell ref="C114:E114"/>
    <mergeCell ref="C115:E115"/>
    <mergeCell ref="A100:C100"/>
    <mergeCell ref="B103:E103"/>
    <mergeCell ref="C106:E106"/>
    <mergeCell ref="G106:H106"/>
    <mergeCell ref="C108:E108"/>
    <mergeCell ref="C109:E109"/>
    <mergeCell ref="C94:E94"/>
    <mergeCell ref="C95:E95"/>
    <mergeCell ref="C96:E96"/>
    <mergeCell ref="C97:E97"/>
    <mergeCell ref="C98:E98"/>
    <mergeCell ref="C99:E99"/>
    <mergeCell ref="C88:E88"/>
    <mergeCell ref="C89:E89"/>
    <mergeCell ref="C90:E90"/>
    <mergeCell ref="C91:E91"/>
    <mergeCell ref="C92:E92"/>
    <mergeCell ref="C93:E93"/>
    <mergeCell ref="C82:E82"/>
    <mergeCell ref="C83:E83"/>
    <mergeCell ref="C84:E84"/>
    <mergeCell ref="C85:E85"/>
    <mergeCell ref="C86:E86"/>
    <mergeCell ref="C87:E87"/>
    <mergeCell ref="C76:E76"/>
    <mergeCell ref="C77:E77"/>
    <mergeCell ref="C78:E78"/>
    <mergeCell ref="C79:E79"/>
    <mergeCell ref="C80:E80"/>
    <mergeCell ref="C81:E81"/>
    <mergeCell ref="C66:E66"/>
    <mergeCell ref="C67:E67"/>
    <mergeCell ref="A68:C68"/>
    <mergeCell ref="B71:E71"/>
    <mergeCell ref="C74:E74"/>
    <mergeCell ref="G74:H74"/>
    <mergeCell ref="C60:E60"/>
    <mergeCell ref="C61:E61"/>
    <mergeCell ref="C62:E62"/>
    <mergeCell ref="C63:E63"/>
    <mergeCell ref="C64:E64"/>
    <mergeCell ref="C65:E65"/>
    <mergeCell ref="C54:E54"/>
    <mergeCell ref="C55:E55"/>
    <mergeCell ref="C56:E56"/>
    <mergeCell ref="C57:E57"/>
    <mergeCell ref="C58:E58"/>
    <mergeCell ref="C59:E59"/>
    <mergeCell ref="C48:E48"/>
    <mergeCell ref="C49:E49"/>
    <mergeCell ref="C50:E50"/>
    <mergeCell ref="C51:E51"/>
    <mergeCell ref="C52:E52"/>
    <mergeCell ref="C53:E53"/>
    <mergeCell ref="C42:E42"/>
    <mergeCell ref="G42:H42"/>
    <mergeCell ref="C44:E44"/>
    <mergeCell ref="C45:E45"/>
    <mergeCell ref="C46:E46"/>
    <mergeCell ref="C47:E47"/>
    <mergeCell ref="C32:E32"/>
    <mergeCell ref="C33:E33"/>
    <mergeCell ref="C34:E34"/>
    <mergeCell ref="C35:E35"/>
    <mergeCell ref="A36:C36"/>
    <mergeCell ref="B39:E39"/>
    <mergeCell ref="C26:E26"/>
    <mergeCell ref="C27:E27"/>
    <mergeCell ref="C28:E28"/>
    <mergeCell ref="C29:E29"/>
    <mergeCell ref="C30:E30"/>
    <mergeCell ref="C31:E31"/>
    <mergeCell ref="C23:E23"/>
    <mergeCell ref="C24:E24"/>
    <mergeCell ref="C25:E25"/>
    <mergeCell ref="C14:E14"/>
    <mergeCell ref="C15:E15"/>
    <mergeCell ref="C16:E16"/>
    <mergeCell ref="C17:E17"/>
    <mergeCell ref="C18:E18"/>
    <mergeCell ref="C19:E19"/>
    <mergeCell ref="A4:C4"/>
    <mergeCell ref="B7:E7"/>
    <mergeCell ref="C10:E10"/>
    <mergeCell ref="G10:H10"/>
    <mergeCell ref="C12:E12"/>
    <mergeCell ref="C13:E13"/>
    <mergeCell ref="C20:E20"/>
    <mergeCell ref="C21:E21"/>
    <mergeCell ref="C22:E22"/>
  </mergeCells>
  <dataValidations count="1">
    <dataValidation type="whole" allowBlank="1" showInputMessage="1" showErrorMessage="1" errorTitle="ATTENZIONE" error="INSERIRE SOLO VALORI NUMERICI INTERI" sqref="F20 F138:F139 F136 F148 F106:F107 F104 F116 F74:F75 F72 F84 F42:F43 F40 F52 F10:F11 F8 F3:F5">
      <formula1>0</formula1>
      <formula2>999999999999</formula2>
    </dataValidation>
  </dataValidations>
  <printOptions horizontalCentered="1"/>
  <pageMargins left="0.23622047244094491" right="0.23622047244094491" top="0.59055118110236227" bottom="0.98425196850393704" header="0.51181102362204722" footer="0.51181102362204722"/>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28545" r:id="rId4" name="Group Box 1">
              <controlPr defaultSize="0" autoFill="0" autoPict="0">
                <anchor moveWithCells="1">
                  <from>
                    <xdr:col>5</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2028546" r:id="rId5" name="Option Button 2">
              <controlPr defaultSize="0" autoFill="0" autoLine="0" autoPict="0">
                <anchor moveWithCells="1">
                  <from>
                    <xdr:col>5</xdr:col>
                    <xdr:colOff>523875</xdr:colOff>
                    <xdr:row>6</xdr:row>
                    <xdr:rowOff>66675</xdr:rowOff>
                  </from>
                  <to>
                    <xdr:col>5</xdr:col>
                    <xdr:colOff>790575</xdr:colOff>
                    <xdr:row>6</xdr:row>
                    <xdr:rowOff>276225</xdr:rowOff>
                  </to>
                </anchor>
              </controlPr>
            </control>
          </mc:Choice>
        </mc:AlternateContent>
        <mc:AlternateContent xmlns:mc="http://schemas.openxmlformats.org/markup-compatibility/2006">
          <mc:Choice Requires="x14">
            <control shapeId="2028547" r:id="rId6" name="Option Button 3">
              <controlPr defaultSize="0" autoFill="0" autoLine="0" autoPict="0">
                <anchor moveWithCells="1">
                  <from>
                    <xdr:col>6</xdr:col>
                    <xdr:colOff>457200</xdr:colOff>
                    <xdr:row>6</xdr:row>
                    <xdr:rowOff>66675</xdr:rowOff>
                  </from>
                  <to>
                    <xdr:col>6</xdr:col>
                    <xdr:colOff>695325</xdr:colOff>
                    <xdr:row>6</xdr:row>
                    <xdr:rowOff>276225</xdr:rowOff>
                  </to>
                </anchor>
              </controlPr>
            </control>
          </mc:Choice>
        </mc:AlternateContent>
        <mc:AlternateContent xmlns:mc="http://schemas.openxmlformats.org/markup-compatibility/2006">
          <mc:Choice Requires="x14">
            <control shapeId="2028548" r:id="rId7" name="Group Box 4">
              <controlPr defaultSize="0" autoFill="0" autoPict="0">
                <anchor moveWithCells="1">
                  <from>
                    <xdr:col>5</xdr:col>
                    <xdr:colOff>0</xdr:colOff>
                    <xdr:row>12</xdr:row>
                    <xdr:rowOff>0</xdr:rowOff>
                  </from>
                  <to>
                    <xdr:col>7</xdr:col>
                    <xdr:colOff>0</xdr:colOff>
                    <xdr:row>13</xdr:row>
                    <xdr:rowOff>0</xdr:rowOff>
                  </to>
                </anchor>
              </controlPr>
            </control>
          </mc:Choice>
        </mc:AlternateContent>
        <mc:AlternateContent xmlns:mc="http://schemas.openxmlformats.org/markup-compatibility/2006">
          <mc:Choice Requires="x14">
            <control shapeId="2028549" r:id="rId8" name="Option Button 5">
              <controlPr defaultSize="0" autoFill="0" autoLine="0" autoPict="0">
                <anchor moveWithCells="1">
                  <from>
                    <xdr:col>5</xdr:col>
                    <xdr:colOff>523875</xdr:colOff>
                    <xdr:row>12</xdr:row>
                    <xdr:rowOff>123825</xdr:rowOff>
                  </from>
                  <to>
                    <xdr:col>5</xdr:col>
                    <xdr:colOff>752475</xdr:colOff>
                    <xdr:row>12</xdr:row>
                    <xdr:rowOff>333375</xdr:rowOff>
                  </to>
                </anchor>
              </controlPr>
            </control>
          </mc:Choice>
        </mc:AlternateContent>
        <mc:AlternateContent xmlns:mc="http://schemas.openxmlformats.org/markup-compatibility/2006">
          <mc:Choice Requires="x14">
            <control shapeId="2028550" r:id="rId9" name="Option Button 6">
              <controlPr defaultSize="0" autoFill="0" autoLine="0" autoPict="0">
                <anchor moveWithCells="1">
                  <from>
                    <xdr:col>6</xdr:col>
                    <xdr:colOff>457200</xdr:colOff>
                    <xdr:row>12</xdr:row>
                    <xdr:rowOff>123825</xdr:rowOff>
                  </from>
                  <to>
                    <xdr:col>6</xdr:col>
                    <xdr:colOff>685800</xdr:colOff>
                    <xdr:row>12</xdr:row>
                    <xdr:rowOff>333375</xdr:rowOff>
                  </to>
                </anchor>
              </controlPr>
            </control>
          </mc:Choice>
        </mc:AlternateContent>
        <mc:AlternateContent xmlns:mc="http://schemas.openxmlformats.org/markup-compatibility/2006">
          <mc:Choice Requires="x14">
            <control shapeId="2028551" r:id="rId10" name="Group Box 7">
              <controlPr defaultSize="0" autoFill="0" autoPict="0">
                <anchor moveWithCells="1">
                  <from>
                    <xdr:col>5</xdr:col>
                    <xdr:colOff>0</xdr:colOff>
                    <xdr:row>14</xdr:row>
                    <xdr:rowOff>0</xdr:rowOff>
                  </from>
                  <to>
                    <xdr:col>7</xdr:col>
                    <xdr:colOff>0</xdr:colOff>
                    <xdr:row>15</xdr:row>
                    <xdr:rowOff>0</xdr:rowOff>
                  </to>
                </anchor>
              </controlPr>
            </control>
          </mc:Choice>
        </mc:AlternateContent>
        <mc:AlternateContent xmlns:mc="http://schemas.openxmlformats.org/markup-compatibility/2006">
          <mc:Choice Requires="x14">
            <control shapeId="2028552" r:id="rId11" name="Option Button 8">
              <controlPr defaultSize="0" autoFill="0" autoLine="0" autoPict="0">
                <anchor moveWithCells="1">
                  <from>
                    <xdr:col>5</xdr:col>
                    <xdr:colOff>523875</xdr:colOff>
                    <xdr:row>14</xdr:row>
                    <xdr:rowOff>76200</xdr:rowOff>
                  </from>
                  <to>
                    <xdr:col>5</xdr:col>
                    <xdr:colOff>752475</xdr:colOff>
                    <xdr:row>15</xdr:row>
                    <xdr:rowOff>0</xdr:rowOff>
                  </to>
                </anchor>
              </controlPr>
            </control>
          </mc:Choice>
        </mc:AlternateContent>
        <mc:AlternateContent xmlns:mc="http://schemas.openxmlformats.org/markup-compatibility/2006">
          <mc:Choice Requires="x14">
            <control shapeId="2028553" r:id="rId12" name="Option Button 9">
              <controlPr defaultSize="0" autoFill="0" autoLine="0" autoPict="0">
                <anchor moveWithCells="1">
                  <from>
                    <xdr:col>6</xdr:col>
                    <xdr:colOff>466725</xdr:colOff>
                    <xdr:row>14</xdr:row>
                    <xdr:rowOff>114300</xdr:rowOff>
                  </from>
                  <to>
                    <xdr:col>6</xdr:col>
                    <xdr:colOff>714375</xdr:colOff>
                    <xdr:row>15</xdr:row>
                    <xdr:rowOff>0</xdr:rowOff>
                  </to>
                </anchor>
              </controlPr>
            </control>
          </mc:Choice>
        </mc:AlternateContent>
        <mc:AlternateContent xmlns:mc="http://schemas.openxmlformats.org/markup-compatibility/2006">
          <mc:Choice Requires="x14">
            <control shapeId="2028554" r:id="rId13" name="Group Box 10">
              <controlPr defaultSize="0" autoFill="0" autoPict="0">
                <anchor moveWithCells="1">
                  <from>
                    <xdr:col>5</xdr:col>
                    <xdr:colOff>0</xdr:colOff>
                    <xdr:row>16</xdr:row>
                    <xdr:rowOff>0</xdr:rowOff>
                  </from>
                  <to>
                    <xdr:col>7</xdr:col>
                    <xdr:colOff>0</xdr:colOff>
                    <xdr:row>17</xdr:row>
                    <xdr:rowOff>0</xdr:rowOff>
                  </to>
                </anchor>
              </controlPr>
            </control>
          </mc:Choice>
        </mc:AlternateContent>
        <mc:AlternateContent xmlns:mc="http://schemas.openxmlformats.org/markup-compatibility/2006">
          <mc:Choice Requires="x14">
            <control shapeId="2028555" r:id="rId14" name="Option Button 11">
              <controlPr defaultSize="0" autoFill="0" autoLine="0" autoPict="0">
                <anchor moveWithCells="1">
                  <from>
                    <xdr:col>5</xdr:col>
                    <xdr:colOff>533400</xdr:colOff>
                    <xdr:row>16</xdr:row>
                    <xdr:rowOff>104775</xdr:rowOff>
                  </from>
                  <to>
                    <xdr:col>5</xdr:col>
                    <xdr:colOff>771525</xdr:colOff>
                    <xdr:row>17</xdr:row>
                    <xdr:rowOff>0</xdr:rowOff>
                  </to>
                </anchor>
              </controlPr>
            </control>
          </mc:Choice>
        </mc:AlternateContent>
        <mc:AlternateContent xmlns:mc="http://schemas.openxmlformats.org/markup-compatibility/2006">
          <mc:Choice Requires="x14">
            <control shapeId="2028556" r:id="rId15" name="Option Button 12">
              <controlPr defaultSize="0" autoFill="0" autoLine="0" autoPict="0">
                <anchor moveWithCells="1">
                  <from>
                    <xdr:col>6</xdr:col>
                    <xdr:colOff>495300</xdr:colOff>
                    <xdr:row>16</xdr:row>
                    <xdr:rowOff>85725</xdr:rowOff>
                  </from>
                  <to>
                    <xdr:col>6</xdr:col>
                    <xdr:colOff>752475</xdr:colOff>
                    <xdr:row>17</xdr:row>
                    <xdr:rowOff>0</xdr:rowOff>
                  </to>
                </anchor>
              </controlPr>
            </control>
          </mc:Choice>
        </mc:AlternateContent>
        <mc:AlternateContent xmlns:mc="http://schemas.openxmlformats.org/markup-compatibility/2006">
          <mc:Choice Requires="x14">
            <control shapeId="2028557" r:id="rId16" name="Group Box 13">
              <controlPr defaultSize="0" autoFill="0" autoPict="0">
                <anchor moveWithCells="1">
                  <from>
                    <xdr:col>5</xdr:col>
                    <xdr:colOff>0</xdr:colOff>
                    <xdr:row>18</xdr:row>
                    <xdr:rowOff>0</xdr:rowOff>
                  </from>
                  <to>
                    <xdr:col>7</xdr:col>
                    <xdr:colOff>0</xdr:colOff>
                    <xdr:row>19</xdr:row>
                    <xdr:rowOff>0</xdr:rowOff>
                  </to>
                </anchor>
              </controlPr>
            </control>
          </mc:Choice>
        </mc:AlternateContent>
        <mc:AlternateContent xmlns:mc="http://schemas.openxmlformats.org/markup-compatibility/2006">
          <mc:Choice Requires="x14">
            <control shapeId="2028558" r:id="rId17" name="Option Button 14">
              <controlPr defaultSize="0" autoFill="0" autoLine="0" autoPict="0">
                <anchor moveWithCells="1">
                  <from>
                    <xdr:col>5</xdr:col>
                    <xdr:colOff>533400</xdr:colOff>
                    <xdr:row>18</xdr:row>
                    <xdr:rowOff>104775</xdr:rowOff>
                  </from>
                  <to>
                    <xdr:col>5</xdr:col>
                    <xdr:colOff>809625</xdr:colOff>
                    <xdr:row>18</xdr:row>
                    <xdr:rowOff>333375</xdr:rowOff>
                  </to>
                </anchor>
              </controlPr>
            </control>
          </mc:Choice>
        </mc:AlternateContent>
        <mc:AlternateContent xmlns:mc="http://schemas.openxmlformats.org/markup-compatibility/2006">
          <mc:Choice Requires="x14">
            <control shapeId="2028559" r:id="rId18" name="Option Button 15">
              <controlPr defaultSize="0" autoFill="0" autoLine="0" autoPict="0">
                <anchor moveWithCells="1">
                  <from>
                    <xdr:col>6</xdr:col>
                    <xdr:colOff>504825</xdr:colOff>
                    <xdr:row>18</xdr:row>
                    <xdr:rowOff>85725</xdr:rowOff>
                  </from>
                  <to>
                    <xdr:col>6</xdr:col>
                    <xdr:colOff>752475</xdr:colOff>
                    <xdr:row>19</xdr:row>
                    <xdr:rowOff>0</xdr:rowOff>
                  </to>
                </anchor>
              </controlPr>
            </control>
          </mc:Choice>
        </mc:AlternateContent>
        <mc:AlternateContent xmlns:mc="http://schemas.openxmlformats.org/markup-compatibility/2006">
          <mc:Choice Requires="x14">
            <control shapeId="2028560" r:id="rId19" name="Group Box 16">
              <controlPr defaultSize="0" autoFill="0" autoPict="0">
                <anchor moveWithCells="1">
                  <from>
                    <xdr:col>5</xdr:col>
                    <xdr:colOff>0</xdr:colOff>
                    <xdr:row>20</xdr:row>
                    <xdr:rowOff>0</xdr:rowOff>
                  </from>
                  <to>
                    <xdr:col>7</xdr:col>
                    <xdr:colOff>0</xdr:colOff>
                    <xdr:row>21</xdr:row>
                    <xdr:rowOff>0</xdr:rowOff>
                  </to>
                </anchor>
              </controlPr>
            </control>
          </mc:Choice>
        </mc:AlternateContent>
        <mc:AlternateContent xmlns:mc="http://schemas.openxmlformats.org/markup-compatibility/2006">
          <mc:Choice Requires="x14">
            <control shapeId="2028561" r:id="rId20" name="Option Button 17">
              <controlPr defaultSize="0" autoFill="0" autoLine="0" autoPict="0">
                <anchor moveWithCells="1">
                  <from>
                    <xdr:col>5</xdr:col>
                    <xdr:colOff>542925</xdr:colOff>
                    <xdr:row>20</xdr:row>
                    <xdr:rowOff>85725</xdr:rowOff>
                  </from>
                  <to>
                    <xdr:col>5</xdr:col>
                    <xdr:colOff>809625</xdr:colOff>
                    <xdr:row>21</xdr:row>
                    <xdr:rowOff>0</xdr:rowOff>
                  </to>
                </anchor>
              </controlPr>
            </control>
          </mc:Choice>
        </mc:AlternateContent>
        <mc:AlternateContent xmlns:mc="http://schemas.openxmlformats.org/markup-compatibility/2006">
          <mc:Choice Requires="x14">
            <control shapeId="2028562" r:id="rId21" name="Option Button 18">
              <controlPr defaultSize="0" autoFill="0" autoLine="0" autoPict="0">
                <anchor moveWithCells="1">
                  <from>
                    <xdr:col>6</xdr:col>
                    <xdr:colOff>504825</xdr:colOff>
                    <xdr:row>20</xdr:row>
                    <xdr:rowOff>85725</xdr:rowOff>
                  </from>
                  <to>
                    <xdr:col>6</xdr:col>
                    <xdr:colOff>752475</xdr:colOff>
                    <xdr:row>21</xdr:row>
                    <xdr:rowOff>0</xdr:rowOff>
                  </to>
                </anchor>
              </controlPr>
            </control>
          </mc:Choice>
        </mc:AlternateContent>
        <mc:AlternateContent xmlns:mc="http://schemas.openxmlformats.org/markup-compatibility/2006">
          <mc:Choice Requires="x14">
            <control shapeId="2028563" r:id="rId22" name="Group Box 19">
              <controlPr defaultSize="0" autoFill="0" autoPict="0">
                <anchor moveWithCells="1">
                  <from>
                    <xdr:col>5</xdr:col>
                    <xdr:colOff>0</xdr:colOff>
                    <xdr:row>22</xdr:row>
                    <xdr:rowOff>0</xdr:rowOff>
                  </from>
                  <to>
                    <xdr:col>7</xdr:col>
                    <xdr:colOff>0</xdr:colOff>
                    <xdr:row>23</xdr:row>
                    <xdr:rowOff>0</xdr:rowOff>
                  </to>
                </anchor>
              </controlPr>
            </control>
          </mc:Choice>
        </mc:AlternateContent>
        <mc:AlternateContent xmlns:mc="http://schemas.openxmlformats.org/markup-compatibility/2006">
          <mc:Choice Requires="x14">
            <control shapeId="2028564" r:id="rId23" name="Option Button 20">
              <controlPr defaultSize="0" autoFill="0" autoLine="0" autoPict="0">
                <anchor moveWithCells="1">
                  <from>
                    <xdr:col>5</xdr:col>
                    <xdr:colOff>542925</xdr:colOff>
                    <xdr:row>22</xdr:row>
                    <xdr:rowOff>66675</xdr:rowOff>
                  </from>
                  <to>
                    <xdr:col>5</xdr:col>
                    <xdr:colOff>809625</xdr:colOff>
                    <xdr:row>23</xdr:row>
                    <xdr:rowOff>0</xdr:rowOff>
                  </to>
                </anchor>
              </controlPr>
            </control>
          </mc:Choice>
        </mc:AlternateContent>
        <mc:AlternateContent xmlns:mc="http://schemas.openxmlformats.org/markup-compatibility/2006">
          <mc:Choice Requires="x14">
            <control shapeId="2028565" r:id="rId24" name="Option Button 21">
              <controlPr defaultSize="0" autoFill="0" autoLine="0" autoPict="0">
                <anchor moveWithCells="1">
                  <from>
                    <xdr:col>6</xdr:col>
                    <xdr:colOff>504825</xdr:colOff>
                    <xdr:row>22</xdr:row>
                    <xdr:rowOff>76200</xdr:rowOff>
                  </from>
                  <to>
                    <xdr:col>6</xdr:col>
                    <xdr:colOff>752475</xdr:colOff>
                    <xdr:row>23</xdr:row>
                    <xdr:rowOff>0</xdr:rowOff>
                  </to>
                </anchor>
              </controlPr>
            </control>
          </mc:Choice>
        </mc:AlternateContent>
        <mc:AlternateContent xmlns:mc="http://schemas.openxmlformats.org/markup-compatibility/2006">
          <mc:Choice Requires="x14">
            <control shapeId="2028566" r:id="rId25" name="Group Box 22">
              <controlPr defaultSize="0" autoFill="0" autoPict="0">
                <anchor moveWithCells="1">
                  <from>
                    <xdr:col>5</xdr:col>
                    <xdr:colOff>0</xdr:colOff>
                    <xdr:row>24</xdr:row>
                    <xdr:rowOff>0</xdr:rowOff>
                  </from>
                  <to>
                    <xdr:col>7</xdr:col>
                    <xdr:colOff>0</xdr:colOff>
                    <xdr:row>25</xdr:row>
                    <xdr:rowOff>0</xdr:rowOff>
                  </to>
                </anchor>
              </controlPr>
            </control>
          </mc:Choice>
        </mc:AlternateContent>
        <mc:AlternateContent xmlns:mc="http://schemas.openxmlformats.org/markup-compatibility/2006">
          <mc:Choice Requires="x14">
            <control shapeId="2028567" r:id="rId26" name="Option Button 23">
              <controlPr defaultSize="0" autoFill="0" autoLine="0" autoPict="0">
                <anchor moveWithCells="1">
                  <from>
                    <xdr:col>5</xdr:col>
                    <xdr:colOff>542925</xdr:colOff>
                    <xdr:row>24</xdr:row>
                    <xdr:rowOff>85725</xdr:rowOff>
                  </from>
                  <to>
                    <xdr:col>5</xdr:col>
                    <xdr:colOff>771525</xdr:colOff>
                    <xdr:row>25</xdr:row>
                    <xdr:rowOff>0</xdr:rowOff>
                  </to>
                </anchor>
              </controlPr>
            </control>
          </mc:Choice>
        </mc:AlternateContent>
        <mc:AlternateContent xmlns:mc="http://schemas.openxmlformats.org/markup-compatibility/2006">
          <mc:Choice Requires="x14">
            <control shapeId="2028568" r:id="rId27" name="Option Button 24">
              <controlPr defaultSize="0" autoFill="0" autoLine="0" autoPict="0">
                <anchor moveWithCells="1">
                  <from>
                    <xdr:col>6</xdr:col>
                    <xdr:colOff>504825</xdr:colOff>
                    <xdr:row>24</xdr:row>
                    <xdr:rowOff>114300</xdr:rowOff>
                  </from>
                  <to>
                    <xdr:col>6</xdr:col>
                    <xdr:colOff>752475</xdr:colOff>
                    <xdr:row>25</xdr:row>
                    <xdr:rowOff>0</xdr:rowOff>
                  </to>
                </anchor>
              </controlPr>
            </control>
          </mc:Choice>
        </mc:AlternateContent>
        <mc:AlternateContent xmlns:mc="http://schemas.openxmlformats.org/markup-compatibility/2006">
          <mc:Choice Requires="x14">
            <control shapeId="2028569" r:id="rId28" name="Group Box 25">
              <controlPr defaultSize="0" autoFill="0" autoPict="0">
                <anchor moveWithCells="1">
                  <from>
                    <xdr:col>5</xdr:col>
                    <xdr:colOff>0</xdr:colOff>
                    <xdr:row>26</xdr:row>
                    <xdr:rowOff>0</xdr:rowOff>
                  </from>
                  <to>
                    <xdr:col>7</xdr:col>
                    <xdr:colOff>0</xdr:colOff>
                    <xdr:row>27</xdr:row>
                    <xdr:rowOff>0</xdr:rowOff>
                  </to>
                </anchor>
              </controlPr>
            </control>
          </mc:Choice>
        </mc:AlternateContent>
        <mc:AlternateContent xmlns:mc="http://schemas.openxmlformats.org/markup-compatibility/2006">
          <mc:Choice Requires="x14">
            <control shapeId="2028570" r:id="rId29" name="Option Button 26">
              <controlPr defaultSize="0" autoFill="0" autoLine="0" autoPict="0">
                <anchor moveWithCells="1">
                  <from>
                    <xdr:col>5</xdr:col>
                    <xdr:colOff>523875</xdr:colOff>
                    <xdr:row>26</xdr:row>
                    <xdr:rowOff>85725</xdr:rowOff>
                  </from>
                  <to>
                    <xdr:col>5</xdr:col>
                    <xdr:colOff>771525</xdr:colOff>
                    <xdr:row>27</xdr:row>
                    <xdr:rowOff>0</xdr:rowOff>
                  </to>
                </anchor>
              </controlPr>
            </control>
          </mc:Choice>
        </mc:AlternateContent>
        <mc:AlternateContent xmlns:mc="http://schemas.openxmlformats.org/markup-compatibility/2006">
          <mc:Choice Requires="x14">
            <control shapeId="2028571" r:id="rId30" name="Option Button 27">
              <controlPr defaultSize="0" autoFill="0" autoLine="0" autoPict="0">
                <anchor moveWithCells="1">
                  <from>
                    <xdr:col>6</xdr:col>
                    <xdr:colOff>504825</xdr:colOff>
                    <xdr:row>26</xdr:row>
                    <xdr:rowOff>104775</xdr:rowOff>
                  </from>
                  <to>
                    <xdr:col>6</xdr:col>
                    <xdr:colOff>790575</xdr:colOff>
                    <xdr:row>27</xdr:row>
                    <xdr:rowOff>0</xdr:rowOff>
                  </to>
                </anchor>
              </controlPr>
            </control>
          </mc:Choice>
        </mc:AlternateContent>
        <mc:AlternateContent xmlns:mc="http://schemas.openxmlformats.org/markup-compatibility/2006">
          <mc:Choice Requires="x14">
            <control shapeId="2028572" r:id="rId31" name="Group Box 28">
              <controlPr defaultSize="0" autoFill="0" autoPict="0">
                <anchor moveWithCells="1">
                  <from>
                    <xdr:col>5</xdr:col>
                    <xdr:colOff>0</xdr:colOff>
                    <xdr:row>28</xdr:row>
                    <xdr:rowOff>0</xdr:rowOff>
                  </from>
                  <to>
                    <xdr:col>7</xdr:col>
                    <xdr:colOff>0</xdr:colOff>
                    <xdr:row>29</xdr:row>
                    <xdr:rowOff>0</xdr:rowOff>
                  </to>
                </anchor>
              </controlPr>
            </control>
          </mc:Choice>
        </mc:AlternateContent>
        <mc:AlternateContent xmlns:mc="http://schemas.openxmlformats.org/markup-compatibility/2006">
          <mc:Choice Requires="x14">
            <control shapeId="2028573" r:id="rId32" name="Option Button 29">
              <controlPr defaultSize="0" autoFill="0" autoLine="0" autoPict="0">
                <anchor moveWithCells="1">
                  <from>
                    <xdr:col>5</xdr:col>
                    <xdr:colOff>523875</xdr:colOff>
                    <xdr:row>28</xdr:row>
                    <xdr:rowOff>85725</xdr:rowOff>
                  </from>
                  <to>
                    <xdr:col>5</xdr:col>
                    <xdr:colOff>771525</xdr:colOff>
                    <xdr:row>29</xdr:row>
                    <xdr:rowOff>0</xdr:rowOff>
                  </to>
                </anchor>
              </controlPr>
            </control>
          </mc:Choice>
        </mc:AlternateContent>
        <mc:AlternateContent xmlns:mc="http://schemas.openxmlformats.org/markup-compatibility/2006">
          <mc:Choice Requires="x14">
            <control shapeId="2028574" r:id="rId33" name="Option Button 30">
              <controlPr defaultSize="0" autoFill="0" autoLine="0" autoPict="0">
                <anchor moveWithCells="1">
                  <from>
                    <xdr:col>6</xdr:col>
                    <xdr:colOff>504825</xdr:colOff>
                    <xdr:row>28</xdr:row>
                    <xdr:rowOff>104775</xdr:rowOff>
                  </from>
                  <to>
                    <xdr:col>6</xdr:col>
                    <xdr:colOff>752475</xdr:colOff>
                    <xdr:row>29</xdr:row>
                    <xdr:rowOff>0</xdr:rowOff>
                  </to>
                </anchor>
              </controlPr>
            </control>
          </mc:Choice>
        </mc:AlternateContent>
        <mc:AlternateContent xmlns:mc="http://schemas.openxmlformats.org/markup-compatibility/2006">
          <mc:Choice Requires="x14">
            <control shapeId="2028575" r:id="rId34" name="Group Box 31">
              <controlPr defaultSize="0" autoFill="0" autoPict="0">
                <anchor moveWithCells="1">
                  <from>
                    <xdr:col>4</xdr:col>
                    <xdr:colOff>1190625</xdr:colOff>
                    <xdr:row>30</xdr:row>
                    <xdr:rowOff>0</xdr:rowOff>
                  </from>
                  <to>
                    <xdr:col>7</xdr:col>
                    <xdr:colOff>0</xdr:colOff>
                    <xdr:row>31</xdr:row>
                    <xdr:rowOff>0</xdr:rowOff>
                  </to>
                </anchor>
              </controlPr>
            </control>
          </mc:Choice>
        </mc:AlternateContent>
        <mc:AlternateContent xmlns:mc="http://schemas.openxmlformats.org/markup-compatibility/2006">
          <mc:Choice Requires="x14">
            <control shapeId="2028576" r:id="rId35" name="Option Button 32">
              <controlPr defaultSize="0" autoFill="0" autoLine="0" autoPict="0">
                <anchor moveWithCells="1">
                  <from>
                    <xdr:col>5</xdr:col>
                    <xdr:colOff>542925</xdr:colOff>
                    <xdr:row>30</xdr:row>
                    <xdr:rowOff>104775</xdr:rowOff>
                  </from>
                  <to>
                    <xdr:col>5</xdr:col>
                    <xdr:colOff>809625</xdr:colOff>
                    <xdr:row>31</xdr:row>
                    <xdr:rowOff>0</xdr:rowOff>
                  </to>
                </anchor>
              </controlPr>
            </control>
          </mc:Choice>
        </mc:AlternateContent>
        <mc:AlternateContent xmlns:mc="http://schemas.openxmlformats.org/markup-compatibility/2006">
          <mc:Choice Requires="x14">
            <control shapeId="2028577" r:id="rId36" name="Option Button 33">
              <controlPr defaultSize="0" autoFill="0" autoLine="0" autoPict="0">
                <anchor moveWithCells="1">
                  <from>
                    <xdr:col>6</xdr:col>
                    <xdr:colOff>504825</xdr:colOff>
                    <xdr:row>30</xdr:row>
                    <xdr:rowOff>114300</xdr:rowOff>
                  </from>
                  <to>
                    <xdr:col>6</xdr:col>
                    <xdr:colOff>752475</xdr:colOff>
                    <xdr:row>31</xdr:row>
                    <xdr:rowOff>0</xdr:rowOff>
                  </to>
                </anchor>
              </controlPr>
            </control>
          </mc:Choice>
        </mc:AlternateContent>
        <mc:AlternateContent xmlns:mc="http://schemas.openxmlformats.org/markup-compatibility/2006">
          <mc:Choice Requires="x14">
            <control shapeId="2028578" r:id="rId37" name="Group Box 34">
              <controlPr defaultSize="0" autoFill="0" autoPict="0">
                <anchor moveWithCells="1">
                  <from>
                    <xdr:col>5</xdr:col>
                    <xdr:colOff>0</xdr:colOff>
                    <xdr:row>32</xdr:row>
                    <xdr:rowOff>0</xdr:rowOff>
                  </from>
                  <to>
                    <xdr:col>7</xdr:col>
                    <xdr:colOff>0</xdr:colOff>
                    <xdr:row>33</xdr:row>
                    <xdr:rowOff>0</xdr:rowOff>
                  </to>
                </anchor>
              </controlPr>
            </control>
          </mc:Choice>
        </mc:AlternateContent>
        <mc:AlternateContent xmlns:mc="http://schemas.openxmlformats.org/markup-compatibility/2006">
          <mc:Choice Requires="x14">
            <control shapeId="2028579" r:id="rId38" name="Option Button 35">
              <controlPr defaultSize="0" autoFill="0" autoLine="0" autoPict="0">
                <anchor moveWithCells="1">
                  <from>
                    <xdr:col>5</xdr:col>
                    <xdr:colOff>533400</xdr:colOff>
                    <xdr:row>32</xdr:row>
                    <xdr:rowOff>85725</xdr:rowOff>
                  </from>
                  <to>
                    <xdr:col>5</xdr:col>
                    <xdr:colOff>771525</xdr:colOff>
                    <xdr:row>33</xdr:row>
                    <xdr:rowOff>0</xdr:rowOff>
                  </to>
                </anchor>
              </controlPr>
            </control>
          </mc:Choice>
        </mc:AlternateContent>
        <mc:AlternateContent xmlns:mc="http://schemas.openxmlformats.org/markup-compatibility/2006">
          <mc:Choice Requires="x14">
            <control shapeId="2028580" r:id="rId39" name="Option Button 36">
              <controlPr defaultSize="0" autoFill="0" autoLine="0" autoPict="0">
                <anchor moveWithCells="1">
                  <from>
                    <xdr:col>6</xdr:col>
                    <xdr:colOff>466725</xdr:colOff>
                    <xdr:row>32</xdr:row>
                    <xdr:rowOff>85725</xdr:rowOff>
                  </from>
                  <to>
                    <xdr:col>6</xdr:col>
                    <xdr:colOff>752475</xdr:colOff>
                    <xdr:row>33</xdr:row>
                    <xdr:rowOff>0</xdr:rowOff>
                  </to>
                </anchor>
              </controlPr>
            </control>
          </mc:Choice>
        </mc:AlternateContent>
        <mc:AlternateContent xmlns:mc="http://schemas.openxmlformats.org/markup-compatibility/2006">
          <mc:Choice Requires="x14">
            <control shapeId="2028581" r:id="rId40" name="Group Box 37">
              <controlPr defaultSize="0" autoFill="0" autoPict="0">
                <anchor moveWithCells="1">
                  <from>
                    <xdr:col>5</xdr:col>
                    <xdr:colOff>0</xdr:colOff>
                    <xdr:row>38</xdr:row>
                    <xdr:rowOff>0</xdr:rowOff>
                  </from>
                  <to>
                    <xdr:col>7</xdr:col>
                    <xdr:colOff>0</xdr:colOff>
                    <xdr:row>39</xdr:row>
                    <xdr:rowOff>0</xdr:rowOff>
                  </to>
                </anchor>
              </controlPr>
            </control>
          </mc:Choice>
        </mc:AlternateContent>
        <mc:AlternateContent xmlns:mc="http://schemas.openxmlformats.org/markup-compatibility/2006">
          <mc:Choice Requires="x14">
            <control shapeId="2028582" r:id="rId41" name="Group Box 38">
              <controlPr defaultSize="0" autoFill="0" autoPict="0">
                <anchor moveWithCells="1">
                  <from>
                    <xdr:col>5</xdr:col>
                    <xdr:colOff>0</xdr:colOff>
                    <xdr:row>44</xdr:row>
                    <xdr:rowOff>0</xdr:rowOff>
                  </from>
                  <to>
                    <xdr:col>7</xdr:col>
                    <xdr:colOff>0</xdr:colOff>
                    <xdr:row>45</xdr:row>
                    <xdr:rowOff>0</xdr:rowOff>
                  </to>
                </anchor>
              </controlPr>
            </control>
          </mc:Choice>
        </mc:AlternateContent>
        <mc:AlternateContent xmlns:mc="http://schemas.openxmlformats.org/markup-compatibility/2006">
          <mc:Choice Requires="x14">
            <control shapeId="2028583" r:id="rId42" name="Group Box 39">
              <controlPr defaultSize="0" autoFill="0" autoPict="0">
                <anchor moveWithCells="1">
                  <from>
                    <xdr:col>5</xdr:col>
                    <xdr:colOff>0</xdr:colOff>
                    <xdr:row>46</xdr:row>
                    <xdr:rowOff>0</xdr:rowOff>
                  </from>
                  <to>
                    <xdr:col>7</xdr:col>
                    <xdr:colOff>0</xdr:colOff>
                    <xdr:row>47</xdr:row>
                    <xdr:rowOff>0</xdr:rowOff>
                  </to>
                </anchor>
              </controlPr>
            </control>
          </mc:Choice>
        </mc:AlternateContent>
        <mc:AlternateContent xmlns:mc="http://schemas.openxmlformats.org/markup-compatibility/2006">
          <mc:Choice Requires="x14">
            <control shapeId="2028584" r:id="rId43" name="Group Box 40">
              <controlPr defaultSize="0" autoFill="0" autoPict="0">
                <anchor moveWithCells="1">
                  <from>
                    <xdr:col>5</xdr:col>
                    <xdr:colOff>0</xdr:colOff>
                    <xdr:row>48</xdr:row>
                    <xdr:rowOff>0</xdr:rowOff>
                  </from>
                  <to>
                    <xdr:col>7</xdr:col>
                    <xdr:colOff>0</xdr:colOff>
                    <xdr:row>49</xdr:row>
                    <xdr:rowOff>0</xdr:rowOff>
                  </to>
                </anchor>
              </controlPr>
            </control>
          </mc:Choice>
        </mc:AlternateContent>
        <mc:AlternateContent xmlns:mc="http://schemas.openxmlformats.org/markup-compatibility/2006">
          <mc:Choice Requires="x14">
            <control shapeId="2028585" r:id="rId44" name="Group Box 41">
              <controlPr defaultSize="0" autoFill="0" autoPict="0">
                <anchor moveWithCells="1">
                  <from>
                    <xdr:col>5</xdr:col>
                    <xdr:colOff>0</xdr:colOff>
                    <xdr:row>50</xdr:row>
                    <xdr:rowOff>0</xdr:rowOff>
                  </from>
                  <to>
                    <xdr:col>7</xdr:col>
                    <xdr:colOff>0</xdr:colOff>
                    <xdr:row>51</xdr:row>
                    <xdr:rowOff>0</xdr:rowOff>
                  </to>
                </anchor>
              </controlPr>
            </control>
          </mc:Choice>
        </mc:AlternateContent>
        <mc:AlternateContent xmlns:mc="http://schemas.openxmlformats.org/markup-compatibility/2006">
          <mc:Choice Requires="x14">
            <control shapeId="2028586" r:id="rId45" name="Group Box 42">
              <controlPr defaultSize="0" autoFill="0" autoPict="0">
                <anchor moveWithCells="1">
                  <from>
                    <xdr:col>5</xdr:col>
                    <xdr:colOff>0</xdr:colOff>
                    <xdr:row>52</xdr:row>
                    <xdr:rowOff>0</xdr:rowOff>
                  </from>
                  <to>
                    <xdr:col>7</xdr:col>
                    <xdr:colOff>0</xdr:colOff>
                    <xdr:row>53</xdr:row>
                    <xdr:rowOff>0</xdr:rowOff>
                  </to>
                </anchor>
              </controlPr>
            </control>
          </mc:Choice>
        </mc:AlternateContent>
        <mc:AlternateContent xmlns:mc="http://schemas.openxmlformats.org/markup-compatibility/2006">
          <mc:Choice Requires="x14">
            <control shapeId="2028587" r:id="rId46" name="Group Box 43">
              <controlPr defaultSize="0" autoFill="0" autoPict="0">
                <anchor moveWithCells="1">
                  <from>
                    <xdr:col>5</xdr:col>
                    <xdr:colOff>0</xdr:colOff>
                    <xdr:row>54</xdr:row>
                    <xdr:rowOff>0</xdr:rowOff>
                  </from>
                  <to>
                    <xdr:col>7</xdr:col>
                    <xdr:colOff>0</xdr:colOff>
                    <xdr:row>55</xdr:row>
                    <xdr:rowOff>0</xdr:rowOff>
                  </to>
                </anchor>
              </controlPr>
            </control>
          </mc:Choice>
        </mc:AlternateContent>
        <mc:AlternateContent xmlns:mc="http://schemas.openxmlformats.org/markup-compatibility/2006">
          <mc:Choice Requires="x14">
            <control shapeId="2028588" r:id="rId47" name="Group Box 44">
              <controlPr defaultSize="0" autoFill="0" autoPict="0">
                <anchor moveWithCells="1">
                  <from>
                    <xdr:col>5</xdr:col>
                    <xdr:colOff>0</xdr:colOff>
                    <xdr:row>56</xdr:row>
                    <xdr:rowOff>0</xdr:rowOff>
                  </from>
                  <to>
                    <xdr:col>7</xdr:col>
                    <xdr:colOff>0</xdr:colOff>
                    <xdr:row>57</xdr:row>
                    <xdr:rowOff>0</xdr:rowOff>
                  </to>
                </anchor>
              </controlPr>
            </control>
          </mc:Choice>
        </mc:AlternateContent>
        <mc:AlternateContent xmlns:mc="http://schemas.openxmlformats.org/markup-compatibility/2006">
          <mc:Choice Requires="x14">
            <control shapeId="2028589" r:id="rId48" name="Group Box 45">
              <controlPr defaultSize="0" autoFill="0" autoPict="0">
                <anchor moveWithCells="1">
                  <from>
                    <xdr:col>5</xdr:col>
                    <xdr:colOff>0</xdr:colOff>
                    <xdr:row>58</xdr:row>
                    <xdr:rowOff>0</xdr:rowOff>
                  </from>
                  <to>
                    <xdr:col>7</xdr:col>
                    <xdr:colOff>0</xdr:colOff>
                    <xdr:row>59</xdr:row>
                    <xdr:rowOff>0</xdr:rowOff>
                  </to>
                </anchor>
              </controlPr>
            </control>
          </mc:Choice>
        </mc:AlternateContent>
        <mc:AlternateContent xmlns:mc="http://schemas.openxmlformats.org/markup-compatibility/2006">
          <mc:Choice Requires="x14">
            <control shapeId="2028590" r:id="rId49" name="Group Box 46">
              <controlPr defaultSize="0" autoFill="0" autoPict="0">
                <anchor moveWithCells="1">
                  <from>
                    <xdr:col>5</xdr:col>
                    <xdr:colOff>0</xdr:colOff>
                    <xdr:row>60</xdr:row>
                    <xdr:rowOff>0</xdr:rowOff>
                  </from>
                  <to>
                    <xdr:col>7</xdr:col>
                    <xdr:colOff>0</xdr:colOff>
                    <xdr:row>61</xdr:row>
                    <xdr:rowOff>0</xdr:rowOff>
                  </to>
                </anchor>
              </controlPr>
            </control>
          </mc:Choice>
        </mc:AlternateContent>
        <mc:AlternateContent xmlns:mc="http://schemas.openxmlformats.org/markup-compatibility/2006">
          <mc:Choice Requires="x14">
            <control shapeId="2028591" r:id="rId50" name="Group Box 47">
              <controlPr defaultSize="0" autoFill="0" autoPict="0">
                <anchor moveWithCells="1">
                  <from>
                    <xdr:col>4</xdr:col>
                    <xdr:colOff>1190625</xdr:colOff>
                    <xdr:row>62</xdr:row>
                    <xdr:rowOff>0</xdr:rowOff>
                  </from>
                  <to>
                    <xdr:col>7</xdr:col>
                    <xdr:colOff>0</xdr:colOff>
                    <xdr:row>63</xdr:row>
                    <xdr:rowOff>0</xdr:rowOff>
                  </to>
                </anchor>
              </controlPr>
            </control>
          </mc:Choice>
        </mc:AlternateContent>
        <mc:AlternateContent xmlns:mc="http://schemas.openxmlformats.org/markup-compatibility/2006">
          <mc:Choice Requires="x14">
            <control shapeId="2028592" r:id="rId51" name="Group Box 48">
              <controlPr defaultSize="0" autoFill="0" autoPict="0">
                <anchor moveWithCells="1">
                  <from>
                    <xdr:col>5</xdr:col>
                    <xdr:colOff>0</xdr:colOff>
                    <xdr:row>64</xdr:row>
                    <xdr:rowOff>0</xdr:rowOff>
                  </from>
                  <to>
                    <xdr:col>7</xdr:col>
                    <xdr:colOff>0</xdr:colOff>
                    <xdr:row>65</xdr:row>
                    <xdr:rowOff>0</xdr:rowOff>
                  </to>
                </anchor>
              </controlPr>
            </control>
          </mc:Choice>
        </mc:AlternateContent>
        <mc:AlternateContent xmlns:mc="http://schemas.openxmlformats.org/markup-compatibility/2006">
          <mc:Choice Requires="x14">
            <control shapeId="2028593" r:id="rId52" name="Group Box 49">
              <controlPr defaultSize="0" autoFill="0" autoPict="0">
                <anchor moveWithCells="1">
                  <from>
                    <xdr:col>5</xdr:col>
                    <xdr:colOff>0</xdr:colOff>
                    <xdr:row>70</xdr:row>
                    <xdr:rowOff>0</xdr:rowOff>
                  </from>
                  <to>
                    <xdr:col>7</xdr:col>
                    <xdr:colOff>0</xdr:colOff>
                    <xdr:row>71</xdr:row>
                    <xdr:rowOff>0</xdr:rowOff>
                  </to>
                </anchor>
              </controlPr>
            </control>
          </mc:Choice>
        </mc:AlternateContent>
        <mc:AlternateContent xmlns:mc="http://schemas.openxmlformats.org/markup-compatibility/2006">
          <mc:Choice Requires="x14">
            <control shapeId="2028594" r:id="rId53" name="Group Box 50">
              <controlPr defaultSize="0" autoFill="0" autoPict="0">
                <anchor moveWithCells="1">
                  <from>
                    <xdr:col>5</xdr:col>
                    <xdr:colOff>0</xdr:colOff>
                    <xdr:row>76</xdr:row>
                    <xdr:rowOff>0</xdr:rowOff>
                  </from>
                  <to>
                    <xdr:col>7</xdr:col>
                    <xdr:colOff>0</xdr:colOff>
                    <xdr:row>77</xdr:row>
                    <xdr:rowOff>0</xdr:rowOff>
                  </to>
                </anchor>
              </controlPr>
            </control>
          </mc:Choice>
        </mc:AlternateContent>
        <mc:AlternateContent xmlns:mc="http://schemas.openxmlformats.org/markup-compatibility/2006">
          <mc:Choice Requires="x14">
            <control shapeId="2028595" r:id="rId54" name="Group Box 51">
              <controlPr defaultSize="0" autoFill="0" autoPict="0">
                <anchor moveWithCells="1">
                  <from>
                    <xdr:col>5</xdr:col>
                    <xdr:colOff>0</xdr:colOff>
                    <xdr:row>78</xdr:row>
                    <xdr:rowOff>0</xdr:rowOff>
                  </from>
                  <to>
                    <xdr:col>7</xdr:col>
                    <xdr:colOff>0</xdr:colOff>
                    <xdr:row>79</xdr:row>
                    <xdr:rowOff>0</xdr:rowOff>
                  </to>
                </anchor>
              </controlPr>
            </control>
          </mc:Choice>
        </mc:AlternateContent>
        <mc:AlternateContent xmlns:mc="http://schemas.openxmlformats.org/markup-compatibility/2006">
          <mc:Choice Requires="x14">
            <control shapeId="2028596" r:id="rId55" name="Group Box 52">
              <controlPr defaultSize="0" autoFill="0" autoPict="0">
                <anchor moveWithCells="1">
                  <from>
                    <xdr:col>5</xdr:col>
                    <xdr:colOff>0</xdr:colOff>
                    <xdr:row>80</xdr:row>
                    <xdr:rowOff>0</xdr:rowOff>
                  </from>
                  <to>
                    <xdr:col>7</xdr:col>
                    <xdr:colOff>0</xdr:colOff>
                    <xdr:row>81</xdr:row>
                    <xdr:rowOff>0</xdr:rowOff>
                  </to>
                </anchor>
              </controlPr>
            </control>
          </mc:Choice>
        </mc:AlternateContent>
        <mc:AlternateContent xmlns:mc="http://schemas.openxmlformats.org/markup-compatibility/2006">
          <mc:Choice Requires="x14">
            <control shapeId="2028597" r:id="rId56" name="Group Box 53">
              <controlPr defaultSize="0" autoFill="0" autoPict="0">
                <anchor moveWithCells="1">
                  <from>
                    <xdr:col>5</xdr:col>
                    <xdr:colOff>0</xdr:colOff>
                    <xdr:row>82</xdr:row>
                    <xdr:rowOff>0</xdr:rowOff>
                  </from>
                  <to>
                    <xdr:col>7</xdr:col>
                    <xdr:colOff>0</xdr:colOff>
                    <xdr:row>83</xdr:row>
                    <xdr:rowOff>0</xdr:rowOff>
                  </to>
                </anchor>
              </controlPr>
            </control>
          </mc:Choice>
        </mc:AlternateContent>
        <mc:AlternateContent xmlns:mc="http://schemas.openxmlformats.org/markup-compatibility/2006">
          <mc:Choice Requires="x14">
            <control shapeId="2028598" r:id="rId57" name="Group Box 54">
              <controlPr defaultSize="0" autoFill="0" autoPict="0">
                <anchor moveWithCells="1">
                  <from>
                    <xdr:col>5</xdr:col>
                    <xdr:colOff>0</xdr:colOff>
                    <xdr:row>84</xdr:row>
                    <xdr:rowOff>0</xdr:rowOff>
                  </from>
                  <to>
                    <xdr:col>7</xdr:col>
                    <xdr:colOff>0</xdr:colOff>
                    <xdr:row>85</xdr:row>
                    <xdr:rowOff>0</xdr:rowOff>
                  </to>
                </anchor>
              </controlPr>
            </control>
          </mc:Choice>
        </mc:AlternateContent>
        <mc:AlternateContent xmlns:mc="http://schemas.openxmlformats.org/markup-compatibility/2006">
          <mc:Choice Requires="x14">
            <control shapeId="2028599" r:id="rId58" name="Group Box 55">
              <controlPr defaultSize="0" autoFill="0" autoPict="0">
                <anchor moveWithCells="1">
                  <from>
                    <xdr:col>5</xdr:col>
                    <xdr:colOff>0</xdr:colOff>
                    <xdr:row>86</xdr:row>
                    <xdr:rowOff>0</xdr:rowOff>
                  </from>
                  <to>
                    <xdr:col>7</xdr:col>
                    <xdr:colOff>0</xdr:colOff>
                    <xdr:row>87</xdr:row>
                    <xdr:rowOff>0</xdr:rowOff>
                  </to>
                </anchor>
              </controlPr>
            </control>
          </mc:Choice>
        </mc:AlternateContent>
        <mc:AlternateContent xmlns:mc="http://schemas.openxmlformats.org/markup-compatibility/2006">
          <mc:Choice Requires="x14">
            <control shapeId="2028600" r:id="rId59" name="Group Box 56">
              <controlPr defaultSize="0" autoFill="0" autoPict="0">
                <anchor moveWithCells="1">
                  <from>
                    <xdr:col>5</xdr:col>
                    <xdr:colOff>0</xdr:colOff>
                    <xdr:row>88</xdr:row>
                    <xdr:rowOff>0</xdr:rowOff>
                  </from>
                  <to>
                    <xdr:col>7</xdr:col>
                    <xdr:colOff>0</xdr:colOff>
                    <xdr:row>89</xdr:row>
                    <xdr:rowOff>0</xdr:rowOff>
                  </to>
                </anchor>
              </controlPr>
            </control>
          </mc:Choice>
        </mc:AlternateContent>
        <mc:AlternateContent xmlns:mc="http://schemas.openxmlformats.org/markup-compatibility/2006">
          <mc:Choice Requires="x14">
            <control shapeId="2028601" r:id="rId60" name="Group Box 57">
              <controlPr defaultSize="0" autoFill="0" autoPict="0">
                <anchor moveWithCells="1">
                  <from>
                    <xdr:col>5</xdr:col>
                    <xdr:colOff>0</xdr:colOff>
                    <xdr:row>90</xdr:row>
                    <xdr:rowOff>0</xdr:rowOff>
                  </from>
                  <to>
                    <xdr:col>7</xdr:col>
                    <xdr:colOff>0</xdr:colOff>
                    <xdr:row>91</xdr:row>
                    <xdr:rowOff>0</xdr:rowOff>
                  </to>
                </anchor>
              </controlPr>
            </control>
          </mc:Choice>
        </mc:AlternateContent>
        <mc:AlternateContent xmlns:mc="http://schemas.openxmlformats.org/markup-compatibility/2006">
          <mc:Choice Requires="x14">
            <control shapeId="2028602" r:id="rId61" name="Group Box 58">
              <controlPr defaultSize="0" autoFill="0" autoPict="0">
                <anchor moveWithCells="1">
                  <from>
                    <xdr:col>5</xdr:col>
                    <xdr:colOff>0</xdr:colOff>
                    <xdr:row>92</xdr:row>
                    <xdr:rowOff>0</xdr:rowOff>
                  </from>
                  <to>
                    <xdr:col>7</xdr:col>
                    <xdr:colOff>0</xdr:colOff>
                    <xdr:row>93</xdr:row>
                    <xdr:rowOff>0</xdr:rowOff>
                  </to>
                </anchor>
              </controlPr>
            </control>
          </mc:Choice>
        </mc:AlternateContent>
        <mc:AlternateContent xmlns:mc="http://schemas.openxmlformats.org/markup-compatibility/2006">
          <mc:Choice Requires="x14">
            <control shapeId="2028603" r:id="rId62" name="Group Box 59">
              <controlPr defaultSize="0" autoFill="0" autoPict="0">
                <anchor moveWithCells="1">
                  <from>
                    <xdr:col>4</xdr:col>
                    <xdr:colOff>1190625</xdr:colOff>
                    <xdr:row>94</xdr:row>
                    <xdr:rowOff>0</xdr:rowOff>
                  </from>
                  <to>
                    <xdr:col>7</xdr:col>
                    <xdr:colOff>0</xdr:colOff>
                    <xdr:row>95</xdr:row>
                    <xdr:rowOff>0</xdr:rowOff>
                  </to>
                </anchor>
              </controlPr>
            </control>
          </mc:Choice>
        </mc:AlternateContent>
        <mc:AlternateContent xmlns:mc="http://schemas.openxmlformats.org/markup-compatibility/2006">
          <mc:Choice Requires="x14">
            <control shapeId="2028604" r:id="rId63" name="Group Box 60">
              <controlPr defaultSize="0" autoFill="0" autoPict="0">
                <anchor moveWithCells="1">
                  <from>
                    <xdr:col>5</xdr:col>
                    <xdr:colOff>0</xdr:colOff>
                    <xdr:row>96</xdr:row>
                    <xdr:rowOff>0</xdr:rowOff>
                  </from>
                  <to>
                    <xdr:col>7</xdr:col>
                    <xdr:colOff>0</xdr:colOff>
                    <xdr:row>97</xdr:row>
                    <xdr:rowOff>0</xdr:rowOff>
                  </to>
                </anchor>
              </controlPr>
            </control>
          </mc:Choice>
        </mc:AlternateContent>
        <mc:AlternateContent xmlns:mc="http://schemas.openxmlformats.org/markup-compatibility/2006">
          <mc:Choice Requires="x14">
            <control shapeId="2028605" r:id="rId64" name="Group Box 61">
              <controlPr defaultSize="0" autoFill="0" autoPict="0">
                <anchor moveWithCells="1">
                  <from>
                    <xdr:col>5</xdr:col>
                    <xdr:colOff>0</xdr:colOff>
                    <xdr:row>102</xdr:row>
                    <xdr:rowOff>0</xdr:rowOff>
                  </from>
                  <to>
                    <xdr:col>7</xdr:col>
                    <xdr:colOff>0</xdr:colOff>
                    <xdr:row>103</xdr:row>
                    <xdr:rowOff>0</xdr:rowOff>
                  </to>
                </anchor>
              </controlPr>
            </control>
          </mc:Choice>
        </mc:AlternateContent>
        <mc:AlternateContent xmlns:mc="http://schemas.openxmlformats.org/markup-compatibility/2006">
          <mc:Choice Requires="x14">
            <control shapeId="2028606" r:id="rId65" name="Group Box 62">
              <controlPr defaultSize="0" autoFill="0" autoPict="0">
                <anchor moveWithCells="1">
                  <from>
                    <xdr:col>5</xdr:col>
                    <xdr:colOff>0</xdr:colOff>
                    <xdr:row>108</xdr:row>
                    <xdr:rowOff>0</xdr:rowOff>
                  </from>
                  <to>
                    <xdr:col>7</xdr:col>
                    <xdr:colOff>0</xdr:colOff>
                    <xdr:row>109</xdr:row>
                    <xdr:rowOff>0</xdr:rowOff>
                  </to>
                </anchor>
              </controlPr>
            </control>
          </mc:Choice>
        </mc:AlternateContent>
        <mc:AlternateContent xmlns:mc="http://schemas.openxmlformats.org/markup-compatibility/2006">
          <mc:Choice Requires="x14">
            <control shapeId="2028607" r:id="rId66" name="Group Box 63">
              <controlPr defaultSize="0" autoFill="0" autoPict="0">
                <anchor moveWithCells="1">
                  <from>
                    <xdr:col>5</xdr:col>
                    <xdr:colOff>0</xdr:colOff>
                    <xdr:row>110</xdr:row>
                    <xdr:rowOff>0</xdr:rowOff>
                  </from>
                  <to>
                    <xdr:col>7</xdr:col>
                    <xdr:colOff>0</xdr:colOff>
                    <xdr:row>111</xdr:row>
                    <xdr:rowOff>0</xdr:rowOff>
                  </to>
                </anchor>
              </controlPr>
            </control>
          </mc:Choice>
        </mc:AlternateContent>
        <mc:AlternateContent xmlns:mc="http://schemas.openxmlformats.org/markup-compatibility/2006">
          <mc:Choice Requires="x14">
            <control shapeId="2028608" r:id="rId67" name="Group Box 64">
              <controlPr defaultSize="0" autoFill="0" autoPict="0">
                <anchor moveWithCells="1">
                  <from>
                    <xdr:col>5</xdr:col>
                    <xdr:colOff>0</xdr:colOff>
                    <xdr:row>112</xdr:row>
                    <xdr:rowOff>0</xdr:rowOff>
                  </from>
                  <to>
                    <xdr:col>7</xdr:col>
                    <xdr:colOff>0</xdr:colOff>
                    <xdr:row>113</xdr:row>
                    <xdr:rowOff>0</xdr:rowOff>
                  </to>
                </anchor>
              </controlPr>
            </control>
          </mc:Choice>
        </mc:AlternateContent>
        <mc:AlternateContent xmlns:mc="http://schemas.openxmlformats.org/markup-compatibility/2006">
          <mc:Choice Requires="x14">
            <control shapeId="2028609" r:id="rId68" name="Group Box 65">
              <controlPr defaultSize="0" autoFill="0" autoPict="0">
                <anchor moveWithCells="1">
                  <from>
                    <xdr:col>5</xdr:col>
                    <xdr:colOff>0</xdr:colOff>
                    <xdr:row>114</xdr:row>
                    <xdr:rowOff>0</xdr:rowOff>
                  </from>
                  <to>
                    <xdr:col>7</xdr:col>
                    <xdr:colOff>0</xdr:colOff>
                    <xdr:row>115</xdr:row>
                    <xdr:rowOff>0</xdr:rowOff>
                  </to>
                </anchor>
              </controlPr>
            </control>
          </mc:Choice>
        </mc:AlternateContent>
        <mc:AlternateContent xmlns:mc="http://schemas.openxmlformats.org/markup-compatibility/2006">
          <mc:Choice Requires="x14">
            <control shapeId="2028610" r:id="rId69" name="Group Box 66">
              <controlPr defaultSize="0" autoFill="0" autoPict="0">
                <anchor moveWithCells="1">
                  <from>
                    <xdr:col>5</xdr:col>
                    <xdr:colOff>0</xdr:colOff>
                    <xdr:row>116</xdr:row>
                    <xdr:rowOff>0</xdr:rowOff>
                  </from>
                  <to>
                    <xdr:col>7</xdr:col>
                    <xdr:colOff>0</xdr:colOff>
                    <xdr:row>117</xdr:row>
                    <xdr:rowOff>0</xdr:rowOff>
                  </to>
                </anchor>
              </controlPr>
            </control>
          </mc:Choice>
        </mc:AlternateContent>
        <mc:AlternateContent xmlns:mc="http://schemas.openxmlformats.org/markup-compatibility/2006">
          <mc:Choice Requires="x14">
            <control shapeId="2028611" r:id="rId70" name="Group Box 67">
              <controlPr defaultSize="0" autoFill="0" autoPict="0">
                <anchor moveWithCells="1">
                  <from>
                    <xdr:col>5</xdr:col>
                    <xdr:colOff>0</xdr:colOff>
                    <xdr:row>118</xdr:row>
                    <xdr:rowOff>0</xdr:rowOff>
                  </from>
                  <to>
                    <xdr:col>7</xdr:col>
                    <xdr:colOff>0</xdr:colOff>
                    <xdr:row>119</xdr:row>
                    <xdr:rowOff>0</xdr:rowOff>
                  </to>
                </anchor>
              </controlPr>
            </control>
          </mc:Choice>
        </mc:AlternateContent>
        <mc:AlternateContent xmlns:mc="http://schemas.openxmlformats.org/markup-compatibility/2006">
          <mc:Choice Requires="x14">
            <control shapeId="2028612" r:id="rId71" name="Group Box 68">
              <controlPr defaultSize="0" autoFill="0" autoPict="0">
                <anchor moveWithCells="1">
                  <from>
                    <xdr:col>5</xdr:col>
                    <xdr:colOff>0</xdr:colOff>
                    <xdr:row>120</xdr:row>
                    <xdr:rowOff>0</xdr:rowOff>
                  </from>
                  <to>
                    <xdr:col>7</xdr:col>
                    <xdr:colOff>0</xdr:colOff>
                    <xdr:row>121</xdr:row>
                    <xdr:rowOff>0</xdr:rowOff>
                  </to>
                </anchor>
              </controlPr>
            </control>
          </mc:Choice>
        </mc:AlternateContent>
        <mc:AlternateContent xmlns:mc="http://schemas.openxmlformats.org/markup-compatibility/2006">
          <mc:Choice Requires="x14">
            <control shapeId="2028613" r:id="rId72" name="Group Box 69">
              <controlPr defaultSize="0" autoFill="0" autoPict="0">
                <anchor moveWithCells="1">
                  <from>
                    <xdr:col>5</xdr:col>
                    <xdr:colOff>0</xdr:colOff>
                    <xdr:row>122</xdr:row>
                    <xdr:rowOff>0</xdr:rowOff>
                  </from>
                  <to>
                    <xdr:col>7</xdr:col>
                    <xdr:colOff>0</xdr:colOff>
                    <xdr:row>123</xdr:row>
                    <xdr:rowOff>0</xdr:rowOff>
                  </to>
                </anchor>
              </controlPr>
            </control>
          </mc:Choice>
        </mc:AlternateContent>
        <mc:AlternateContent xmlns:mc="http://schemas.openxmlformats.org/markup-compatibility/2006">
          <mc:Choice Requires="x14">
            <control shapeId="2028614" r:id="rId73" name="Group Box 70">
              <controlPr defaultSize="0" autoFill="0" autoPict="0">
                <anchor moveWithCells="1">
                  <from>
                    <xdr:col>5</xdr:col>
                    <xdr:colOff>0</xdr:colOff>
                    <xdr:row>124</xdr:row>
                    <xdr:rowOff>0</xdr:rowOff>
                  </from>
                  <to>
                    <xdr:col>7</xdr:col>
                    <xdr:colOff>0</xdr:colOff>
                    <xdr:row>125</xdr:row>
                    <xdr:rowOff>0</xdr:rowOff>
                  </to>
                </anchor>
              </controlPr>
            </control>
          </mc:Choice>
        </mc:AlternateContent>
        <mc:AlternateContent xmlns:mc="http://schemas.openxmlformats.org/markup-compatibility/2006">
          <mc:Choice Requires="x14">
            <control shapeId="2028615" r:id="rId74" name="Group Box 71">
              <controlPr defaultSize="0" autoFill="0" autoPict="0">
                <anchor moveWithCells="1">
                  <from>
                    <xdr:col>4</xdr:col>
                    <xdr:colOff>1190625</xdr:colOff>
                    <xdr:row>126</xdr:row>
                    <xdr:rowOff>0</xdr:rowOff>
                  </from>
                  <to>
                    <xdr:col>7</xdr:col>
                    <xdr:colOff>0</xdr:colOff>
                    <xdr:row>127</xdr:row>
                    <xdr:rowOff>0</xdr:rowOff>
                  </to>
                </anchor>
              </controlPr>
            </control>
          </mc:Choice>
        </mc:AlternateContent>
        <mc:AlternateContent xmlns:mc="http://schemas.openxmlformats.org/markup-compatibility/2006">
          <mc:Choice Requires="x14">
            <control shapeId="2028616" r:id="rId75" name="Group Box 72">
              <controlPr defaultSize="0" autoFill="0" autoPict="0">
                <anchor moveWithCells="1">
                  <from>
                    <xdr:col>5</xdr:col>
                    <xdr:colOff>0</xdr:colOff>
                    <xdr:row>128</xdr:row>
                    <xdr:rowOff>0</xdr:rowOff>
                  </from>
                  <to>
                    <xdr:col>7</xdr:col>
                    <xdr:colOff>0</xdr:colOff>
                    <xdr:row>129</xdr:row>
                    <xdr:rowOff>0</xdr:rowOff>
                  </to>
                </anchor>
              </controlPr>
            </control>
          </mc:Choice>
        </mc:AlternateContent>
        <mc:AlternateContent xmlns:mc="http://schemas.openxmlformats.org/markup-compatibility/2006">
          <mc:Choice Requires="x14">
            <control shapeId="2028617" r:id="rId76" name="Group Box 73">
              <controlPr defaultSize="0" autoFill="0" autoPict="0">
                <anchor moveWithCells="1">
                  <from>
                    <xdr:col>5</xdr:col>
                    <xdr:colOff>0</xdr:colOff>
                    <xdr:row>134</xdr:row>
                    <xdr:rowOff>0</xdr:rowOff>
                  </from>
                  <to>
                    <xdr:col>7</xdr:col>
                    <xdr:colOff>0</xdr:colOff>
                    <xdr:row>135</xdr:row>
                    <xdr:rowOff>0</xdr:rowOff>
                  </to>
                </anchor>
              </controlPr>
            </control>
          </mc:Choice>
        </mc:AlternateContent>
        <mc:AlternateContent xmlns:mc="http://schemas.openxmlformats.org/markup-compatibility/2006">
          <mc:Choice Requires="x14">
            <control shapeId="2028618" r:id="rId77" name="Group Box 74">
              <controlPr defaultSize="0" autoFill="0" autoPict="0">
                <anchor moveWithCells="1">
                  <from>
                    <xdr:col>5</xdr:col>
                    <xdr:colOff>0</xdr:colOff>
                    <xdr:row>140</xdr:row>
                    <xdr:rowOff>0</xdr:rowOff>
                  </from>
                  <to>
                    <xdr:col>7</xdr:col>
                    <xdr:colOff>0</xdr:colOff>
                    <xdr:row>141</xdr:row>
                    <xdr:rowOff>0</xdr:rowOff>
                  </to>
                </anchor>
              </controlPr>
            </control>
          </mc:Choice>
        </mc:AlternateContent>
        <mc:AlternateContent xmlns:mc="http://schemas.openxmlformats.org/markup-compatibility/2006">
          <mc:Choice Requires="x14">
            <control shapeId="2028619" r:id="rId78" name="Group Box 75">
              <controlPr defaultSize="0" autoFill="0" autoPict="0">
                <anchor moveWithCells="1">
                  <from>
                    <xdr:col>5</xdr:col>
                    <xdr:colOff>0</xdr:colOff>
                    <xdr:row>142</xdr:row>
                    <xdr:rowOff>0</xdr:rowOff>
                  </from>
                  <to>
                    <xdr:col>7</xdr:col>
                    <xdr:colOff>0</xdr:colOff>
                    <xdr:row>143</xdr:row>
                    <xdr:rowOff>0</xdr:rowOff>
                  </to>
                </anchor>
              </controlPr>
            </control>
          </mc:Choice>
        </mc:AlternateContent>
        <mc:AlternateContent xmlns:mc="http://schemas.openxmlformats.org/markup-compatibility/2006">
          <mc:Choice Requires="x14">
            <control shapeId="2028620" r:id="rId79" name="Group Box 76">
              <controlPr defaultSize="0" autoFill="0" autoPict="0">
                <anchor moveWithCells="1">
                  <from>
                    <xdr:col>5</xdr:col>
                    <xdr:colOff>0</xdr:colOff>
                    <xdr:row>144</xdr:row>
                    <xdr:rowOff>0</xdr:rowOff>
                  </from>
                  <to>
                    <xdr:col>7</xdr:col>
                    <xdr:colOff>0</xdr:colOff>
                    <xdr:row>145</xdr:row>
                    <xdr:rowOff>0</xdr:rowOff>
                  </to>
                </anchor>
              </controlPr>
            </control>
          </mc:Choice>
        </mc:AlternateContent>
        <mc:AlternateContent xmlns:mc="http://schemas.openxmlformats.org/markup-compatibility/2006">
          <mc:Choice Requires="x14">
            <control shapeId="2028621" r:id="rId80" name="Group Box 77">
              <controlPr defaultSize="0" autoFill="0" autoPict="0">
                <anchor moveWithCells="1">
                  <from>
                    <xdr:col>5</xdr:col>
                    <xdr:colOff>0</xdr:colOff>
                    <xdr:row>146</xdr:row>
                    <xdr:rowOff>0</xdr:rowOff>
                  </from>
                  <to>
                    <xdr:col>7</xdr:col>
                    <xdr:colOff>0</xdr:colOff>
                    <xdr:row>147</xdr:row>
                    <xdr:rowOff>0</xdr:rowOff>
                  </to>
                </anchor>
              </controlPr>
            </control>
          </mc:Choice>
        </mc:AlternateContent>
        <mc:AlternateContent xmlns:mc="http://schemas.openxmlformats.org/markup-compatibility/2006">
          <mc:Choice Requires="x14">
            <control shapeId="2028622" r:id="rId81" name="Group Box 78">
              <controlPr defaultSize="0" autoFill="0" autoPict="0">
                <anchor moveWithCells="1">
                  <from>
                    <xdr:col>5</xdr:col>
                    <xdr:colOff>0</xdr:colOff>
                    <xdr:row>148</xdr:row>
                    <xdr:rowOff>0</xdr:rowOff>
                  </from>
                  <to>
                    <xdr:col>7</xdr:col>
                    <xdr:colOff>0</xdr:colOff>
                    <xdr:row>149</xdr:row>
                    <xdr:rowOff>0</xdr:rowOff>
                  </to>
                </anchor>
              </controlPr>
            </control>
          </mc:Choice>
        </mc:AlternateContent>
        <mc:AlternateContent xmlns:mc="http://schemas.openxmlformats.org/markup-compatibility/2006">
          <mc:Choice Requires="x14">
            <control shapeId="2028623" r:id="rId82" name="Group Box 79">
              <controlPr defaultSize="0" autoFill="0" autoPict="0">
                <anchor moveWithCells="1">
                  <from>
                    <xdr:col>5</xdr:col>
                    <xdr:colOff>0</xdr:colOff>
                    <xdr:row>150</xdr:row>
                    <xdr:rowOff>0</xdr:rowOff>
                  </from>
                  <to>
                    <xdr:col>7</xdr:col>
                    <xdr:colOff>0</xdr:colOff>
                    <xdr:row>151</xdr:row>
                    <xdr:rowOff>0</xdr:rowOff>
                  </to>
                </anchor>
              </controlPr>
            </control>
          </mc:Choice>
        </mc:AlternateContent>
        <mc:AlternateContent xmlns:mc="http://schemas.openxmlformats.org/markup-compatibility/2006">
          <mc:Choice Requires="x14">
            <control shapeId="2028624" r:id="rId83" name="Group Box 80">
              <controlPr defaultSize="0" autoFill="0" autoPict="0">
                <anchor moveWithCells="1">
                  <from>
                    <xdr:col>5</xdr:col>
                    <xdr:colOff>0</xdr:colOff>
                    <xdr:row>152</xdr:row>
                    <xdr:rowOff>0</xdr:rowOff>
                  </from>
                  <to>
                    <xdr:col>7</xdr:col>
                    <xdr:colOff>0</xdr:colOff>
                    <xdr:row>153</xdr:row>
                    <xdr:rowOff>0</xdr:rowOff>
                  </to>
                </anchor>
              </controlPr>
            </control>
          </mc:Choice>
        </mc:AlternateContent>
        <mc:AlternateContent xmlns:mc="http://schemas.openxmlformats.org/markup-compatibility/2006">
          <mc:Choice Requires="x14">
            <control shapeId="2028625" r:id="rId84" name="Group Box 81">
              <controlPr defaultSize="0" autoFill="0" autoPict="0">
                <anchor moveWithCells="1">
                  <from>
                    <xdr:col>5</xdr:col>
                    <xdr:colOff>0</xdr:colOff>
                    <xdr:row>154</xdr:row>
                    <xdr:rowOff>0</xdr:rowOff>
                  </from>
                  <to>
                    <xdr:col>7</xdr:col>
                    <xdr:colOff>0</xdr:colOff>
                    <xdr:row>155</xdr:row>
                    <xdr:rowOff>0</xdr:rowOff>
                  </to>
                </anchor>
              </controlPr>
            </control>
          </mc:Choice>
        </mc:AlternateContent>
        <mc:AlternateContent xmlns:mc="http://schemas.openxmlformats.org/markup-compatibility/2006">
          <mc:Choice Requires="x14">
            <control shapeId="2028626" r:id="rId85" name="Group Box 82">
              <controlPr defaultSize="0" autoFill="0" autoPict="0">
                <anchor moveWithCells="1">
                  <from>
                    <xdr:col>5</xdr:col>
                    <xdr:colOff>0</xdr:colOff>
                    <xdr:row>156</xdr:row>
                    <xdr:rowOff>0</xdr:rowOff>
                  </from>
                  <to>
                    <xdr:col>7</xdr:col>
                    <xdr:colOff>0</xdr:colOff>
                    <xdr:row>157</xdr:row>
                    <xdr:rowOff>0</xdr:rowOff>
                  </to>
                </anchor>
              </controlPr>
            </control>
          </mc:Choice>
        </mc:AlternateContent>
        <mc:AlternateContent xmlns:mc="http://schemas.openxmlformats.org/markup-compatibility/2006">
          <mc:Choice Requires="x14">
            <control shapeId="2028627" r:id="rId86" name="Group Box 83">
              <controlPr defaultSize="0" autoFill="0" autoPict="0">
                <anchor moveWithCells="1">
                  <from>
                    <xdr:col>4</xdr:col>
                    <xdr:colOff>1190625</xdr:colOff>
                    <xdr:row>158</xdr:row>
                    <xdr:rowOff>0</xdr:rowOff>
                  </from>
                  <to>
                    <xdr:col>7</xdr:col>
                    <xdr:colOff>0</xdr:colOff>
                    <xdr:row>159</xdr:row>
                    <xdr:rowOff>0</xdr:rowOff>
                  </to>
                </anchor>
              </controlPr>
            </control>
          </mc:Choice>
        </mc:AlternateContent>
        <mc:AlternateContent xmlns:mc="http://schemas.openxmlformats.org/markup-compatibility/2006">
          <mc:Choice Requires="x14">
            <control shapeId="2028628" r:id="rId87" name="Group Box 84">
              <controlPr defaultSize="0" autoFill="0" autoPict="0">
                <anchor moveWithCells="1">
                  <from>
                    <xdr:col>5</xdr:col>
                    <xdr:colOff>0</xdr:colOff>
                    <xdr:row>160</xdr:row>
                    <xdr:rowOff>0</xdr:rowOff>
                  </from>
                  <to>
                    <xdr:col>7</xdr:col>
                    <xdr:colOff>0</xdr:colOff>
                    <xdr:row>161</xdr:row>
                    <xdr:rowOff>0</xdr:rowOff>
                  </to>
                </anchor>
              </controlPr>
            </control>
          </mc:Choice>
        </mc:AlternateContent>
        <mc:AlternateContent xmlns:mc="http://schemas.openxmlformats.org/markup-compatibility/2006">
          <mc:Choice Requires="x14">
            <control shapeId="2028629" r:id="rId88" name="Option Button 85">
              <controlPr defaultSize="0" autoFill="0" autoLine="0" autoPict="0">
                <anchor moveWithCells="1">
                  <from>
                    <xdr:col>5</xdr:col>
                    <xdr:colOff>561975</xdr:colOff>
                    <xdr:row>38</xdr:row>
                    <xdr:rowOff>66675</xdr:rowOff>
                  </from>
                  <to>
                    <xdr:col>5</xdr:col>
                    <xdr:colOff>838200</xdr:colOff>
                    <xdr:row>38</xdr:row>
                    <xdr:rowOff>295275</xdr:rowOff>
                  </to>
                </anchor>
              </controlPr>
            </control>
          </mc:Choice>
        </mc:AlternateContent>
        <mc:AlternateContent xmlns:mc="http://schemas.openxmlformats.org/markup-compatibility/2006">
          <mc:Choice Requires="x14">
            <control shapeId="2028630" r:id="rId89" name="Option Button 86">
              <controlPr defaultSize="0" autoFill="0" autoLine="0" autoPict="0">
                <anchor moveWithCells="1">
                  <from>
                    <xdr:col>6</xdr:col>
                    <xdr:colOff>457200</xdr:colOff>
                    <xdr:row>38</xdr:row>
                    <xdr:rowOff>66675</xdr:rowOff>
                  </from>
                  <to>
                    <xdr:col>6</xdr:col>
                    <xdr:colOff>733425</xdr:colOff>
                    <xdr:row>38</xdr:row>
                    <xdr:rowOff>295275</xdr:rowOff>
                  </to>
                </anchor>
              </controlPr>
            </control>
          </mc:Choice>
        </mc:AlternateContent>
        <mc:AlternateContent xmlns:mc="http://schemas.openxmlformats.org/markup-compatibility/2006">
          <mc:Choice Requires="x14">
            <control shapeId="2028631" r:id="rId90" name="Option Button 87">
              <controlPr defaultSize="0" autoFill="0" autoLine="0" autoPict="0">
                <anchor moveWithCells="1">
                  <from>
                    <xdr:col>5</xdr:col>
                    <xdr:colOff>542925</xdr:colOff>
                    <xdr:row>44</xdr:row>
                    <xdr:rowOff>114300</xdr:rowOff>
                  </from>
                  <to>
                    <xdr:col>5</xdr:col>
                    <xdr:colOff>828675</xdr:colOff>
                    <xdr:row>44</xdr:row>
                    <xdr:rowOff>333375</xdr:rowOff>
                  </to>
                </anchor>
              </controlPr>
            </control>
          </mc:Choice>
        </mc:AlternateContent>
        <mc:AlternateContent xmlns:mc="http://schemas.openxmlformats.org/markup-compatibility/2006">
          <mc:Choice Requires="x14">
            <control shapeId="2028632" r:id="rId91" name="Option Button 88">
              <controlPr defaultSize="0" autoFill="0" autoLine="0" autoPict="0">
                <anchor moveWithCells="1">
                  <from>
                    <xdr:col>6</xdr:col>
                    <xdr:colOff>428625</xdr:colOff>
                    <xdr:row>44</xdr:row>
                    <xdr:rowOff>123825</xdr:rowOff>
                  </from>
                  <to>
                    <xdr:col>6</xdr:col>
                    <xdr:colOff>714375</xdr:colOff>
                    <xdr:row>44</xdr:row>
                    <xdr:rowOff>342900</xdr:rowOff>
                  </to>
                </anchor>
              </controlPr>
            </control>
          </mc:Choice>
        </mc:AlternateContent>
        <mc:AlternateContent xmlns:mc="http://schemas.openxmlformats.org/markup-compatibility/2006">
          <mc:Choice Requires="x14">
            <control shapeId="2028633" r:id="rId92" name="Option Button 89">
              <controlPr defaultSize="0" autoFill="0" autoLine="0" autoPict="0">
                <anchor moveWithCells="1">
                  <from>
                    <xdr:col>5</xdr:col>
                    <xdr:colOff>542925</xdr:colOff>
                    <xdr:row>46</xdr:row>
                    <xdr:rowOff>104775</xdr:rowOff>
                  </from>
                  <to>
                    <xdr:col>5</xdr:col>
                    <xdr:colOff>828675</xdr:colOff>
                    <xdr:row>46</xdr:row>
                    <xdr:rowOff>333375</xdr:rowOff>
                  </to>
                </anchor>
              </controlPr>
            </control>
          </mc:Choice>
        </mc:AlternateContent>
        <mc:AlternateContent xmlns:mc="http://schemas.openxmlformats.org/markup-compatibility/2006">
          <mc:Choice Requires="x14">
            <control shapeId="2028634" r:id="rId93" name="Option Button 90">
              <controlPr defaultSize="0" autoFill="0" autoLine="0" autoPict="0">
                <anchor moveWithCells="1">
                  <from>
                    <xdr:col>6</xdr:col>
                    <xdr:colOff>485775</xdr:colOff>
                    <xdr:row>46</xdr:row>
                    <xdr:rowOff>104775</xdr:rowOff>
                  </from>
                  <to>
                    <xdr:col>6</xdr:col>
                    <xdr:colOff>771525</xdr:colOff>
                    <xdr:row>46</xdr:row>
                    <xdr:rowOff>333375</xdr:rowOff>
                  </to>
                </anchor>
              </controlPr>
            </control>
          </mc:Choice>
        </mc:AlternateContent>
        <mc:AlternateContent xmlns:mc="http://schemas.openxmlformats.org/markup-compatibility/2006">
          <mc:Choice Requires="x14">
            <control shapeId="2028635" r:id="rId94" name="Option Button 91">
              <controlPr defaultSize="0" autoFill="0" autoLine="0" autoPict="0">
                <anchor moveWithCells="1">
                  <from>
                    <xdr:col>5</xdr:col>
                    <xdr:colOff>495300</xdr:colOff>
                    <xdr:row>48</xdr:row>
                    <xdr:rowOff>104775</xdr:rowOff>
                  </from>
                  <to>
                    <xdr:col>5</xdr:col>
                    <xdr:colOff>771525</xdr:colOff>
                    <xdr:row>48</xdr:row>
                    <xdr:rowOff>333375</xdr:rowOff>
                  </to>
                </anchor>
              </controlPr>
            </control>
          </mc:Choice>
        </mc:AlternateContent>
        <mc:AlternateContent xmlns:mc="http://schemas.openxmlformats.org/markup-compatibility/2006">
          <mc:Choice Requires="x14">
            <control shapeId="2028636" r:id="rId95" name="Option Button 92">
              <controlPr defaultSize="0" autoFill="0" autoLine="0" autoPict="0">
                <anchor moveWithCells="1">
                  <from>
                    <xdr:col>6</xdr:col>
                    <xdr:colOff>457200</xdr:colOff>
                    <xdr:row>48</xdr:row>
                    <xdr:rowOff>104775</xdr:rowOff>
                  </from>
                  <to>
                    <xdr:col>6</xdr:col>
                    <xdr:colOff>733425</xdr:colOff>
                    <xdr:row>48</xdr:row>
                    <xdr:rowOff>333375</xdr:rowOff>
                  </to>
                </anchor>
              </controlPr>
            </control>
          </mc:Choice>
        </mc:AlternateContent>
        <mc:AlternateContent xmlns:mc="http://schemas.openxmlformats.org/markup-compatibility/2006">
          <mc:Choice Requires="x14">
            <control shapeId="2028637" r:id="rId96" name="Option Button 93">
              <controlPr defaultSize="0" autoFill="0" autoLine="0" autoPict="0">
                <anchor moveWithCells="1">
                  <from>
                    <xdr:col>5</xdr:col>
                    <xdr:colOff>523875</xdr:colOff>
                    <xdr:row>50</xdr:row>
                    <xdr:rowOff>85725</xdr:rowOff>
                  </from>
                  <to>
                    <xdr:col>5</xdr:col>
                    <xdr:colOff>809625</xdr:colOff>
                    <xdr:row>50</xdr:row>
                    <xdr:rowOff>304800</xdr:rowOff>
                  </to>
                </anchor>
              </controlPr>
            </control>
          </mc:Choice>
        </mc:AlternateContent>
        <mc:AlternateContent xmlns:mc="http://schemas.openxmlformats.org/markup-compatibility/2006">
          <mc:Choice Requires="x14">
            <control shapeId="2028638" r:id="rId97" name="Option Button 94">
              <controlPr defaultSize="0" autoFill="0" autoLine="0" autoPict="0">
                <anchor moveWithCells="1">
                  <from>
                    <xdr:col>6</xdr:col>
                    <xdr:colOff>419100</xdr:colOff>
                    <xdr:row>50</xdr:row>
                    <xdr:rowOff>114300</xdr:rowOff>
                  </from>
                  <to>
                    <xdr:col>6</xdr:col>
                    <xdr:colOff>695325</xdr:colOff>
                    <xdr:row>50</xdr:row>
                    <xdr:rowOff>333375</xdr:rowOff>
                  </to>
                </anchor>
              </controlPr>
            </control>
          </mc:Choice>
        </mc:AlternateContent>
        <mc:AlternateContent xmlns:mc="http://schemas.openxmlformats.org/markup-compatibility/2006">
          <mc:Choice Requires="x14">
            <control shapeId="2028639" r:id="rId98" name="Option Button 95">
              <controlPr defaultSize="0" autoFill="0" autoLine="0" autoPict="0">
                <anchor moveWithCells="1">
                  <from>
                    <xdr:col>5</xdr:col>
                    <xdr:colOff>523875</xdr:colOff>
                    <xdr:row>52</xdr:row>
                    <xdr:rowOff>114300</xdr:rowOff>
                  </from>
                  <to>
                    <xdr:col>5</xdr:col>
                    <xdr:colOff>809625</xdr:colOff>
                    <xdr:row>52</xdr:row>
                    <xdr:rowOff>333375</xdr:rowOff>
                  </to>
                </anchor>
              </controlPr>
            </control>
          </mc:Choice>
        </mc:AlternateContent>
        <mc:AlternateContent xmlns:mc="http://schemas.openxmlformats.org/markup-compatibility/2006">
          <mc:Choice Requires="x14">
            <control shapeId="2028640" r:id="rId99" name="Option Button 96">
              <controlPr defaultSize="0" autoFill="0" autoLine="0" autoPict="0">
                <anchor moveWithCells="1">
                  <from>
                    <xdr:col>6</xdr:col>
                    <xdr:colOff>457200</xdr:colOff>
                    <xdr:row>52</xdr:row>
                    <xdr:rowOff>114300</xdr:rowOff>
                  </from>
                  <to>
                    <xdr:col>6</xdr:col>
                    <xdr:colOff>733425</xdr:colOff>
                    <xdr:row>52</xdr:row>
                    <xdr:rowOff>333375</xdr:rowOff>
                  </to>
                </anchor>
              </controlPr>
            </control>
          </mc:Choice>
        </mc:AlternateContent>
        <mc:AlternateContent xmlns:mc="http://schemas.openxmlformats.org/markup-compatibility/2006">
          <mc:Choice Requires="x14">
            <control shapeId="2028641" r:id="rId100" name="Option Button 97">
              <controlPr defaultSize="0" autoFill="0" autoLine="0" autoPict="0">
                <anchor moveWithCells="1">
                  <from>
                    <xdr:col>5</xdr:col>
                    <xdr:colOff>561975</xdr:colOff>
                    <xdr:row>54</xdr:row>
                    <xdr:rowOff>85725</xdr:rowOff>
                  </from>
                  <to>
                    <xdr:col>5</xdr:col>
                    <xdr:colOff>838200</xdr:colOff>
                    <xdr:row>54</xdr:row>
                    <xdr:rowOff>304800</xdr:rowOff>
                  </to>
                </anchor>
              </controlPr>
            </control>
          </mc:Choice>
        </mc:AlternateContent>
        <mc:AlternateContent xmlns:mc="http://schemas.openxmlformats.org/markup-compatibility/2006">
          <mc:Choice Requires="x14">
            <control shapeId="2028642" r:id="rId101" name="Option Button 98">
              <controlPr defaultSize="0" autoFill="0" autoLine="0" autoPict="0">
                <anchor moveWithCells="1">
                  <from>
                    <xdr:col>6</xdr:col>
                    <xdr:colOff>466725</xdr:colOff>
                    <xdr:row>54</xdr:row>
                    <xdr:rowOff>85725</xdr:rowOff>
                  </from>
                  <to>
                    <xdr:col>6</xdr:col>
                    <xdr:colOff>752475</xdr:colOff>
                    <xdr:row>54</xdr:row>
                    <xdr:rowOff>304800</xdr:rowOff>
                  </to>
                </anchor>
              </controlPr>
            </control>
          </mc:Choice>
        </mc:AlternateContent>
        <mc:AlternateContent xmlns:mc="http://schemas.openxmlformats.org/markup-compatibility/2006">
          <mc:Choice Requires="x14">
            <control shapeId="2028643" r:id="rId102" name="Option Button 99">
              <controlPr defaultSize="0" autoFill="0" autoLine="0" autoPict="0">
                <anchor moveWithCells="1">
                  <from>
                    <xdr:col>5</xdr:col>
                    <xdr:colOff>533400</xdr:colOff>
                    <xdr:row>56</xdr:row>
                    <xdr:rowOff>123825</xdr:rowOff>
                  </from>
                  <to>
                    <xdr:col>5</xdr:col>
                    <xdr:colOff>809625</xdr:colOff>
                    <xdr:row>56</xdr:row>
                    <xdr:rowOff>342900</xdr:rowOff>
                  </to>
                </anchor>
              </controlPr>
            </control>
          </mc:Choice>
        </mc:AlternateContent>
        <mc:AlternateContent xmlns:mc="http://schemas.openxmlformats.org/markup-compatibility/2006">
          <mc:Choice Requires="x14">
            <control shapeId="2028644" r:id="rId103" name="Option Button 100">
              <controlPr defaultSize="0" autoFill="0" autoLine="0" autoPict="0">
                <anchor moveWithCells="1">
                  <from>
                    <xdr:col>6</xdr:col>
                    <xdr:colOff>457200</xdr:colOff>
                    <xdr:row>56</xdr:row>
                    <xdr:rowOff>123825</xdr:rowOff>
                  </from>
                  <to>
                    <xdr:col>6</xdr:col>
                    <xdr:colOff>733425</xdr:colOff>
                    <xdr:row>56</xdr:row>
                    <xdr:rowOff>342900</xdr:rowOff>
                  </to>
                </anchor>
              </controlPr>
            </control>
          </mc:Choice>
        </mc:AlternateContent>
        <mc:AlternateContent xmlns:mc="http://schemas.openxmlformats.org/markup-compatibility/2006">
          <mc:Choice Requires="x14">
            <control shapeId="2028645" r:id="rId104" name="Option Button 101">
              <controlPr defaultSize="0" autoFill="0" autoLine="0" autoPict="0">
                <anchor moveWithCells="1">
                  <from>
                    <xdr:col>5</xdr:col>
                    <xdr:colOff>523875</xdr:colOff>
                    <xdr:row>58</xdr:row>
                    <xdr:rowOff>114300</xdr:rowOff>
                  </from>
                  <to>
                    <xdr:col>5</xdr:col>
                    <xdr:colOff>809625</xdr:colOff>
                    <xdr:row>58</xdr:row>
                    <xdr:rowOff>333375</xdr:rowOff>
                  </to>
                </anchor>
              </controlPr>
            </control>
          </mc:Choice>
        </mc:AlternateContent>
        <mc:AlternateContent xmlns:mc="http://schemas.openxmlformats.org/markup-compatibility/2006">
          <mc:Choice Requires="x14">
            <control shapeId="2028646" r:id="rId105" name="Option Button 102">
              <controlPr defaultSize="0" autoFill="0" autoLine="0" autoPict="0">
                <anchor moveWithCells="1">
                  <from>
                    <xdr:col>6</xdr:col>
                    <xdr:colOff>466725</xdr:colOff>
                    <xdr:row>58</xdr:row>
                    <xdr:rowOff>123825</xdr:rowOff>
                  </from>
                  <to>
                    <xdr:col>6</xdr:col>
                    <xdr:colOff>752475</xdr:colOff>
                    <xdr:row>58</xdr:row>
                    <xdr:rowOff>342900</xdr:rowOff>
                  </to>
                </anchor>
              </controlPr>
            </control>
          </mc:Choice>
        </mc:AlternateContent>
        <mc:AlternateContent xmlns:mc="http://schemas.openxmlformats.org/markup-compatibility/2006">
          <mc:Choice Requires="x14">
            <control shapeId="2028647" r:id="rId106" name="Option Button 103">
              <controlPr defaultSize="0" autoFill="0" autoLine="0" autoPict="0">
                <anchor moveWithCells="1">
                  <from>
                    <xdr:col>5</xdr:col>
                    <xdr:colOff>504825</xdr:colOff>
                    <xdr:row>60</xdr:row>
                    <xdr:rowOff>142875</xdr:rowOff>
                  </from>
                  <to>
                    <xdr:col>5</xdr:col>
                    <xdr:colOff>790575</xdr:colOff>
                    <xdr:row>60</xdr:row>
                    <xdr:rowOff>371475</xdr:rowOff>
                  </to>
                </anchor>
              </controlPr>
            </control>
          </mc:Choice>
        </mc:AlternateContent>
        <mc:AlternateContent xmlns:mc="http://schemas.openxmlformats.org/markup-compatibility/2006">
          <mc:Choice Requires="x14">
            <control shapeId="2028648" r:id="rId107" name="Option Button 104">
              <controlPr defaultSize="0" autoFill="0" autoLine="0" autoPict="0">
                <anchor moveWithCells="1">
                  <from>
                    <xdr:col>6</xdr:col>
                    <xdr:colOff>457200</xdr:colOff>
                    <xdr:row>60</xdr:row>
                    <xdr:rowOff>104775</xdr:rowOff>
                  </from>
                  <to>
                    <xdr:col>6</xdr:col>
                    <xdr:colOff>733425</xdr:colOff>
                    <xdr:row>60</xdr:row>
                    <xdr:rowOff>333375</xdr:rowOff>
                  </to>
                </anchor>
              </controlPr>
            </control>
          </mc:Choice>
        </mc:AlternateContent>
        <mc:AlternateContent xmlns:mc="http://schemas.openxmlformats.org/markup-compatibility/2006">
          <mc:Choice Requires="x14">
            <control shapeId="2028649" r:id="rId108" name="Option Button 105">
              <controlPr defaultSize="0" autoFill="0" autoLine="0" autoPict="0">
                <anchor moveWithCells="1">
                  <from>
                    <xdr:col>5</xdr:col>
                    <xdr:colOff>523875</xdr:colOff>
                    <xdr:row>62</xdr:row>
                    <xdr:rowOff>142875</xdr:rowOff>
                  </from>
                  <to>
                    <xdr:col>5</xdr:col>
                    <xdr:colOff>809625</xdr:colOff>
                    <xdr:row>62</xdr:row>
                    <xdr:rowOff>371475</xdr:rowOff>
                  </to>
                </anchor>
              </controlPr>
            </control>
          </mc:Choice>
        </mc:AlternateContent>
        <mc:AlternateContent xmlns:mc="http://schemas.openxmlformats.org/markup-compatibility/2006">
          <mc:Choice Requires="x14">
            <control shapeId="2028650" r:id="rId109" name="Option Button 106">
              <controlPr defaultSize="0" autoFill="0" autoLine="0" autoPict="0">
                <anchor moveWithCells="1">
                  <from>
                    <xdr:col>6</xdr:col>
                    <xdr:colOff>457200</xdr:colOff>
                    <xdr:row>62</xdr:row>
                    <xdr:rowOff>123825</xdr:rowOff>
                  </from>
                  <to>
                    <xdr:col>6</xdr:col>
                    <xdr:colOff>733425</xdr:colOff>
                    <xdr:row>62</xdr:row>
                    <xdr:rowOff>342900</xdr:rowOff>
                  </to>
                </anchor>
              </controlPr>
            </control>
          </mc:Choice>
        </mc:AlternateContent>
        <mc:AlternateContent xmlns:mc="http://schemas.openxmlformats.org/markup-compatibility/2006">
          <mc:Choice Requires="x14">
            <control shapeId="2028651" r:id="rId110" name="Option Button 107">
              <controlPr defaultSize="0" autoFill="0" autoLine="0" autoPict="0">
                <anchor moveWithCells="1">
                  <from>
                    <xdr:col>5</xdr:col>
                    <xdr:colOff>523875</xdr:colOff>
                    <xdr:row>64</xdr:row>
                    <xdr:rowOff>104775</xdr:rowOff>
                  </from>
                  <to>
                    <xdr:col>5</xdr:col>
                    <xdr:colOff>809625</xdr:colOff>
                    <xdr:row>64</xdr:row>
                    <xdr:rowOff>333375</xdr:rowOff>
                  </to>
                </anchor>
              </controlPr>
            </control>
          </mc:Choice>
        </mc:AlternateContent>
        <mc:AlternateContent xmlns:mc="http://schemas.openxmlformats.org/markup-compatibility/2006">
          <mc:Choice Requires="x14">
            <control shapeId="2028652" r:id="rId111" name="Option Button 108">
              <controlPr defaultSize="0" autoFill="0" autoLine="0" autoPict="0">
                <anchor moveWithCells="1">
                  <from>
                    <xdr:col>6</xdr:col>
                    <xdr:colOff>428625</xdr:colOff>
                    <xdr:row>64</xdr:row>
                    <xdr:rowOff>114300</xdr:rowOff>
                  </from>
                  <to>
                    <xdr:col>6</xdr:col>
                    <xdr:colOff>714375</xdr:colOff>
                    <xdr:row>64</xdr:row>
                    <xdr:rowOff>333375</xdr:rowOff>
                  </to>
                </anchor>
              </controlPr>
            </control>
          </mc:Choice>
        </mc:AlternateContent>
        <mc:AlternateContent xmlns:mc="http://schemas.openxmlformats.org/markup-compatibility/2006">
          <mc:Choice Requires="x14">
            <control shapeId="2028653" r:id="rId112" name="Option Button 109">
              <controlPr defaultSize="0" autoFill="0" autoLine="0" autoPict="0">
                <anchor moveWithCells="1">
                  <from>
                    <xdr:col>5</xdr:col>
                    <xdr:colOff>542925</xdr:colOff>
                    <xdr:row>70</xdr:row>
                    <xdr:rowOff>104775</xdr:rowOff>
                  </from>
                  <to>
                    <xdr:col>5</xdr:col>
                    <xdr:colOff>828675</xdr:colOff>
                    <xdr:row>70</xdr:row>
                    <xdr:rowOff>333375</xdr:rowOff>
                  </to>
                </anchor>
              </controlPr>
            </control>
          </mc:Choice>
        </mc:AlternateContent>
        <mc:AlternateContent xmlns:mc="http://schemas.openxmlformats.org/markup-compatibility/2006">
          <mc:Choice Requires="x14">
            <control shapeId="2028654" r:id="rId113" name="Option Button 110">
              <controlPr defaultSize="0" autoFill="0" autoLine="0" autoPict="0">
                <anchor moveWithCells="1">
                  <from>
                    <xdr:col>6</xdr:col>
                    <xdr:colOff>419100</xdr:colOff>
                    <xdr:row>70</xdr:row>
                    <xdr:rowOff>104775</xdr:rowOff>
                  </from>
                  <to>
                    <xdr:col>6</xdr:col>
                    <xdr:colOff>695325</xdr:colOff>
                    <xdr:row>70</xdr:row>
                    <xdr:rowOff>333375</xdr:rowOff>
                  </to>
                </anchor>
              </controlPr>
            </control>
          </mc:Choice>
        </mc:AlternateContent>
        <mc:AlternateContent xmlns:mc="http://schemas.openxmlformats.org/markup-compatibility/2006">
          <mc:Choice Requires="x14">
            <control shapeId="2028655" r:id="rId114" name="Option Button 111">
              <controlPr defaultSize="0" autoFill="0" autoLine="0" autoPict="0">
                <anchor moveWithCells="1">
                  <from>
                    <xdr:col>5</xdr:col>
                    <xdr:colOff>523875</xdr:colOff>
                    <xdr:row>76</xdr:row>
                    <xdr:rowOff>76200</xdr:rowOff>
                  </from>
                  <to>
                    <xdr:col>5</xdr:col>
                    <xdr:colOff>809625</xdr:colOff>
                    <xdr:row>76</xdr:row>
                    <xdr:rowOff>295275</xdr:rowOff>
                  </to>
                </anchor>
              </controlPr>
            </control>
          </mc:Choice>
        </mc:AlternateContent>
        <mc:AlternateContent xmlns:mc="http://schemas.openxmlformats.org/markup-compatibility/2006">
          <mc:Choice Requires="x14">
            <control shapeId="2028656" r:id="rId115" name="Option Button 112">
              <controlPr defaultSize="0" autoFill="0" autoLine="0" autoPict="0">
                <anchor moveWithCells="1">
                  <from>
                    <xdr:col>6</xdr:col>
                    <xdr:colOff>419100</xdr:colOff>
                    <xdr:row>76</xdr:row>
                    <xdr:rowOff>76200</xdr:rowOff>
                  </from>
                  <to>
                    <xdr:col>6</xdr:col>
                    <xdr:colOff>695325</xdr:colOff>
                    <xdr:row>76</xdr:row>
                    <xdr:rowOff>295275</xdr:rowOff>
                  </to>
                </anchor>
              </controlPr>
            </control>
          </mc:Choice>
        </mc:AlternateContent>
        <mc:AlternateContent xmlns:mc="http://schemas.openxmlformats.org/markup-compatibility/2006">
          <mc:Choice Requires="x14">
            <control shapeId="2028657" r:id="rId116" name="Option Button 113">
              <controlPr defaultSize="0" autoFill="0" autoLine="0" autoPict="0">
                <anchor moveWithCells="1">
                  <from>
                    <xdr:col>5</xdr:col>
                    <xdr:colOff>542925</xdr:colOff>
                    <xdr:row>78</xdr:row>
                    <xdr:rowOff>66675</xdr:rowOff>
                  </from>
                  <to>
                    <xdr:col>5</xdr:col>
                    <xdr:colOff>828675</xdr:colOff>
                    <xdr:row>78</xdr:row>
                    <xdr:rowOff>295275</xdr:rowOff>
                  </to>
                </anchor>
              </controlPr>
            </control>
          </mc:Choice>
        </mc:AlternateContent>
        <mc:AlternateContent xmlns:mc="http://schemas.openxmlformats.org/markup-compatibility/2006">
          <mc:Choice Requires="x14">
            <control shapeId="2028658" r:id="rId117" name="Option Button 114">
              <controlPr defaultSize="0" autoFill="0" autoLine="0" autoPict="0">
                <anchor moveWithCells="1">
                  <from>
                    <xdr:col>6</xdr:col>
                    <xdr:colOff>428625</xdr:colOff>
                    <xdr:row>78</xdr:row>
                    <xdr:rowOff>85725</xdr:rowOff>
                  </from>
                  <to>
                    <xdr:col>6</xdr:col>
                    <xdr:colOff>714375</xdr:colOff>
                    <xdr:row>78</xdr:row>
                    <xdr:rowOff>304800</xdr:rowOff>
                  </to>
                </anchor>
              </controlPr>
            </control>
          </mc:Choice>
        </mc:AlternateContent>
        <mc:AlternateContent xmlns:mc="http://schemas.openxmlformats.org/markup-compatibility/2006">
          <mc:Choice Requires="x14">
            <control shapeId="2028659" r:id="rId118" name="Option Button 115">
              <controlPr defaultSize="0" autoFill="0" autoLine="0" autoPict="0">
                <anchor moveWithCells="1">
                  <from>
                    <xdr:col>5</xdr:col>
                    <xdr:colOff>542925</xdr:colOff>
                    <xdr:row>80</xdr:row>
                    <xdr:rowOff>114300</xdr:rowOff>
                  </from>
                  <to>
                    <xdr:col>5</xdr:col>
                    <xdr:colOff>828675</xdr:colOff>
                    <xdr:row>80</xdr:row>
                    <xdr:rowOff>333375</xdr:rowOff>
                  </to>
                </anchor>
              </controlPr>
            </control>
          </mc:Choice>
        </mc:AlternateContent>
        <mc:AlternateContent xmlns:mc="http://schemas.openxmlformats.org/markup-compatibility/2006">
          <mc:Choice Requires="x14">
            <control shapeId="2028660" r:id="rId119" name="Option Button 116">
              <controlPr defaultSize="0" autoFill="0" autoLine="0" autoPict="0">
                <anchor moveWithCells="1">
                  <from>
                    <xdr:col>6</xdr:col>
                    <xdr:colOff>457200</xdr:colOff>
                    <xdr:row>80</xdr:row>
                    <xdr:rowOff>85725</xdr:rowOff>
                  </from>
                  <to>
                    <xdr:col>6</xdr:col>
                    <xdr:colOff>733425</xdr:colOff>
                    <xdr:row>80</xdr:row>
                    <xdr:rowOff>304800</xdr:rowOff>
                  </to>
                </anchor>
              </controlPr>
            </control>
          </mc:Choice>
        </mc:AlternateContent>
        <mc:AlternateContent xmlns:mc="http://schemas.openxmlformats.org/markup-compatibility/2006">
          <mc:Choice Requires="x14">
            <control shapeId="2028661" r:id="rId120" name="Option Button 117">
              <controlPr defaultSize="0" autoFill="0" autoLine="0" autoPict="0">
                <anchor moveWithCells="1">
                  <from>
                    <xdr:col>5</xdr:col>
                    <xdr:colOff>561975</xdr:colOff>
                    <xdr:row>82</xdr:row>
                    <xdr:rowOff>66675</xdr:rowOff>
                  </from>
                  <to>
                    <xdr:col>5</xdr:col>
                    <xdr:colOff>838200</xdr:colOff>
                    <xdr:row>82</xdr:row>
                    <xdr:rowOff>295275</xdr:rowOff>
                  </to>
                </anchor>
              </controlPr>
            </control>
          </mc:Choice>
        </mc:AlternateContent>
        <mc:AlternateContent xmlns:mc="http://schemas.openxmlformats.org/markup-compatibility/2006">
          <mc:Choice Requires="x14">
            <control shapeId="2028662" r:id="rId121" name="Option Button 118">
              <controlPr defaultSize="0" autoFill="0" autoLine="0" autoPict="0">
                <anchor moveWithCells="1">
                  <from>
                    <xdr:col>6</xdr:col>
                    <xdr:colOff>457200</xdr:colOff>
                    <xdr:row>82</xdr:row>
                    <xdr:rowOff>66675</xdr:rowOff>
                  </from>
                  <to>
                    <xdr:col>6</xdr:col>
                    <xdr:colOff>733425</xdr:colOff>
                    <xdr:row>82</xdr:row>
                    <xdr:rowOff>295275</xdr:rowOff>
                  </to>
                </anchor>
              </controlPr>
            </control>
          </mc:Choice>
        </mc:AlternateContent>
        <mc:AlternateContent xmlns:mc="http://schemas.openxmlformats.org/markup-compatibility/2006">
          <mc:Choice Requires="x14">
            <control shapeId="2028663" r:id="rId122" name="Option Button 119">
              <controlPr defaultSize="0" autoFill="0" autoLine="0" autoPict="0">
                <anchor moveWithCells="1">
                  <from>
                    <xdr:col>5</xdr:col>
                    <xdr:colOff>533400</xdr:colOff>
                    <xdr:row>84</xdr:row>
                    <xdr:rowOff>85725</xdr:rowOff>
                  </from>
                  <to>
                    <xdr:col>5</xdr:col>
                    <xdr:colOff>809625</xdr:colOff>
                    <xdr:row>84</xdr:row>
                    <xdr:rowOff>304800</xdr:rowOff>
                  </to>
                </anchor>
              </controlPr>
            </control>
          </mc:Choice>
        </mc:AlternateContent>
        <mc:AlternateContent xmlns:mc="http://schemas.openxmlformats.org/markup-compatibility/2006">
          <mc:Choice Requires="x14">
            <control shapeId="2028664" r:id="rId123" name="Option Button 120">
              <controlPr defaultSize="0" autoFill="0" autoLine="0" autoPict="0">
                <anchor moveWithCells="1">
                  <from>
                    <xdr:col>6</xdr:col>
                    <xdr:colOff>428625</xdr:colOff>
                    <xdr:row>84</xdr:row>
                    <xdr:rowOff>85725</xdr:rowOff>
                  </from>
                  <to>
                    <xdr:col>6</xdr:col>
                    <xdr:colOff>714375</xdr:colOff>
                    <xdr:row>84</xdr:row>
                    <xdr:rowOff>304800</xdr:rowOff>
                  </to>
                </anchor>
              </controlPr>
            </control>
          </mc:Choice>
        </mc:AlternateContent>
        <mc:AlternateContent xmlns:mc="http://schemas.openxmlformats.org/markup-compatibility/2006">
          <mc:Choice Requires="x14">
            <control shapeId="2028665" r:id="rId124" name="Option Button 121">
              <controlPr defaultSize="0" autoFill="0" autoLine="0" autoPict="0">
                <anchor moveWithCells="1">
                  <from>
                    <xdr:col>5</xdr:col>
                    <xdr:colOff>561975</xdr:colOff>
                    <xdr:row>86</xdr:row>
                    <xdr:rowOff>104775</xdr:rowOff>
                  </from>
                  <to>
                    <xdr:col>5</xdr:col>
                    <xdr:colOff>838200</xdr:colOff>
                    <xdr:row>86</xdr:row>
                    <xdr:rowOff>333375</xdr:rowOff>
                  </to>
                </anchor>
              </controlPr>
            </control>
          </mc:Choice>
        </mc:AlternateContent>
        <mc:AlternateContent xmlns:mc="http://schemas.openxmlformats.org/markup-compatibility/2006">
          <mc:Choice Requires="x14">
            <control shapeId="2028666" r:id="rId125" name="Option Button 122">
              <controlPr defaultSize="0" autoFill="0" autoLine="0" autoPict="0">
                <anchor moveWithCells="1">
                  <from>
                    <xdr:col>6</xdr:col>
                    <xdr:colOff>428625</xdr:colOff>
                    <xdr:row>86</xdr:row>
                    <xdr:rowOff>76200</xdr:rowOff>
                  </from>
                  <to>
                    <xdr:col>6</xdr:col>
                    <xdr:colOff>714375</xdr:colOff>
                    <xdr:row>86</xdr:row>
                    <xdr:rowOff>295275</xdr:rowOff>
                  </to>
                </anchor>
              </controlPr>
            </control>
          </mc:Choice>
        </mc:AlternateContent>
        <mc:AlternateContent xmlns:mc="http://schemas.openxmlformats.org/markup-compatibility/2006">
          <mc:Choice Requires="x14">
            <control shapeId="2028667" r:id="rId126" name="Option Button 123">
              <controlPr defaultSize="0" autoFill="0" autoLine="0" autoPict="0">
                <anchor moveWithCells="1">
                  <from>
                    <xdr:col>5</xdr:col>
                    <xdr:colOff>581025</xdr:colOff>
                    <xdr:row>88</xdr:row>
                    <xdr:rowOff>104775</xdr:rowOff>
                  </from>
                  <to>
                    <xdr:col>5</xdr:col>
                    <xdr:colOff>866775</xdr:colOff>
                    <xdr:row>88</xdr:row>
                    <xdr:rowOff>333375</xdr:rowOff>
                  </to>
                </anchor>
              </controlPr>
            </control>
          </mc:Choice>
        </mc:AlternateContent>
        <mc:AlternateContent xmlns:mc="http://schemas.openxmlformats.org/markup-compatibility/2006">
          <mc:Choice Requires="x14">
            <control shapeId="2028668" r:id="rId127" name="Option Button 124">
              <controlPr defaultSize="0" autoFill="0" autoLine="0" autoPict="0">
                <anchor moveWithCells="1">
                  <from>
                    <xdr:col>6</xdr:col>
                    <xdr:colOff>428625</xdr:colOff>
                    <xdr:row>88</xdr:row>
                    <xdr:rowOff>85725</xdr:rowOff>
                  </from>
                  <to>
                    <xdr:col>6</xdr:col>
                    <xdr:colOff>714375</xdr:colOff>
                    <xdr:row>88</xdr:row>
                    <xdr:rowOff>304800</xdr:rowOff>
                  </to>
                </anchor>
              </controlPr>
            </control>
          </mc:Choice>
        </mc:AlternateContent>
        <mc:AlternateContent xmlns:mc="http://schemas.openxmlformats.org/markup-compatibility/2006">
          <mc:Choice Requires="x14">
            <control shapeId="2028669" r:id="rId128" name="Option Button 125">
              <controlPr defaultSize="0" autoFill="0" autoLine="0" autoPict="0">
                <anchor moveWithCells="1">
                  <from>
                    <xdr:col>5</xdr:col>
                    <xdr:colOff>581025</xdr:colOff>
                    <xdr:row>90</xdr:row>
                    <xdr:rowOff>85725</xdr:rowOff>
                  </from>
                  <to>
                    <xdr:col>5</xdr:col>
                    <xdr:colOff>866775</xdr:colOff>
                    <xdr:row>90</xdr:row>
                    <xdr:rowOff>304800</xdr:rowOff>
                  </to>
                </anchor>
              </controlPr>
            </control>
          </mc:Choice>
        </mc:AlternateContent>
        <mc:AlternateContent xmlns:mc="http://schemas.openxmlformats.org/markup-compatibility/2006">
          <mc:Choice Requires="x14">
            <control shapeId="2028670" r:id="rId129" name="Option Button 126">
              <controlPr defaultSize="0" autoFill="0" autoLine="0" autoPict="0">
                <anchor moveWithCells="1">
                  <from>
                    <xdr:col>6</xdr:col>
                    <xdr:colOff>428625</xdr:colOff>
                    <xdr:row>90</xdr:row>
                    <xdr:rowOff>85725</xdr:rowOff>
                  </from>
                  <to>
                    <xdr:col>6</xdr:col>
                    <xdr:colOff>714375</xdr:colOff>
                    <xdr:row>90</xdr:row>
                    <xdr:rowOff>304800</xdr:rowOff>
                  </to>
                </anchor>
              </controlPr>
            </control>
          </mc:Choice>
        </mc:AlternateContent>
        <mc:AlternateContent xmlns:mc="http://schemas.openxmlformats.org/markup-compatibility/2006">
          <mc:Choice Requires="x14">
            <control shapeId="2028671" r:id="rId130" name="Option Button 127">
              <controlPr defaultSize="0" autoFill="0" autoLine="0" autoPict="0">
                <anchor moveWithCells="1">
                  <from>
                    <xdr:col>5</xdr:col>
                    <xdr:colOff>571500</xdr:colOff>
                    <xdr:row>92</xdr:row>
                    <xdr:rowOff>104775</xdr:rowOff>
                  </from>
                  <to>
                    <xdr:col>5</xdr:col>
                    <xdr:colOff>847725</xdr:colOff>
                    <xdr:row>92</xdr:row>
                    <xdr:rowOff>333375</xdr:rowOff>
                  </to>
                </anchor>
              </controlPr>
            </control>
          </mc:Choice>
        </mc:AlternateContent>
        <mc:AlternateContent xmlns:mc="http://schemas.openxmlformats.org/markup-compatibility/2006">
          <mc:Choice Requires="x14">
            <control shapeId="2028672" r:id="rId131" name="Option Button 128">
              <controlPr defaultSize="0" autoFill="0" autoLine="0" autoPict="0">
                <anchor moveWithCells="1">
                  <from>
                    <xdr:col>6</xdr:col>
                    <xdr:colOff>428625</xdr:colOff>
                    <xdr:row>92</xdr:row>
                    <xdr:rowOff>76200</xdr:rowOff>
                  </from>
                  <to>
                    <xdr:col>6</xdr:col>
                    <xdr:colOff>714375</xdr:colOff>
                    <xdr:row>92</xdr:row>
                    <xdr:rowOff>295275</xdr:rowOff>
                  </to>
                </anchor>
              </controlPr>
            </control>
          </mc:Choice>
        </mc:AlternateContent>
        <mc:AlternateContent xmlns:mc="http://schemas.openxmlformats.org/markup-compatibility/2006">
          <mc:Choice Requires="x14">
            <control shapeId="2028673" r:id="rId132" name="Option Button 129">
              <controlPr defaultSize="0" autoFill="0" autoLine="0" autoPict="0">
                <anchor moveWithCells="1">
                  <from>
                    <xdr:col>5</xdr:col>
                    <xdr:colOff>533400</xdr:colOff>
                    <xdr:row>94</xdr:row>
                    <xdr:rowOff>104775</xdr:rowOff>
                  </from>
                  <to>
                    <xdr:col>5</xdr:col>
                    <xdr:colOff>809625</xdr:colOff>
                    <xdr:row>94</xdr:row>
                    <xdr:rowOff>333375</xdr:rowOff>
                  </to>
                </anchor>
              </controlPr>
            </control>
          </mc:Choice>
        </mc:AlternateContent>
        <mc:AlternateContent xmlns:mc="http://schemas.openxmlformats.org/markup-compatibility/2006">
          <mc:Choice Requires="x14">
            <control shapeId="2028674" r:id="rId133" name="Option Button 130">
              <controlPr defaultSize="0" autoFill="0" autoLine="0" autoPict="0">
                <anchor moveWithCells="1">
                  <from>
                    <xdr:col>6</xdr:col>
                    <xdr:colOff>428625</xdr:colOff>
                    <xdr:row>94</xdr:row>
                    <xdr:rowOff>142875</xdr:rowOff>
                  </from>
                  <to>
                    <xdr:col>6</xdr:col>
                    <xdr:colOff>714375</xdr:colOff>
                    <xdr:row>94</xdr:row>
                    <xdr:rowOff>371475</xdr:rowOff>
                  </to>
                </anchor>
              </controlPr>
            </control>
          </mc:Choice>
        </mc:AlternateContent>
        <mc:AlternateContent xmlns:mc="http://schemas.openxmlformats.org/markup-compatibility/2006">
          <mc:Choice Requires="x14">
            <control shapeId="2028675" r:id="rId134" name="Option Button 131">
              <controlPr defaultSize="0" autoFill="0" autoLine="0" autoPict="0">
                <anchor moveWithCells="1">
                  <from>
                    <xdr:col>5</xdr:col>
                    <xdr:colOff>571500</xdr:colOff>
                    <xdr:row>96</xdr:row>
                    <xdr:rowOff>104775</xdr:rowOff>
                  </from>
                  <to>
                    <xdr:col>5</xdr:col>
                    <xdr:colOff>847725</xdr:colOff>
                    <xdr:row>96</xdr:row>
                    <xdr:rowOff>333375</xdr:rowOff>
                  </to>
                </anchor>
              </controlPr>
            </control>
          </mc:Choice>
        </mc:AlternateContent>
        <mc:AlternateContent xmlns:mc="http://schemas.openxmlformats.org/markup-compatibility/2006">
          <mc:Choice Requires="x14">
            <control shapeId="2028676" r:id="rId135" name="Option Button 132">
              <controlPr defaultSize="0" autoFill="0" autoLine="0" autoPict="0">
                <anchor moveWithCells="1">
                  <from>
                    <xdr:col>6</xdr:col>
                    <xdr:colOff>457200</xdr:colOff>
                    <xdr:row>96</xdr:row>
                    <xdr:rowOff>85725</xdr:rowOff>
                  </from>
                  <to>
                    <xdr:col>6</xdr:col>
                    <xdr:colOff>733425</xdr:colOff>
                    <xdr:row>96</xdr:row>
                    <xdr:rowOff>304800</xdr:rowOff>
                  </to>
                </anchor>
              </controlPr>
            </control>
          </mc:Choice>
        </mc:AlternateContent>
        <mc:AlternateContent xmlns:mc="http://schemas.openxmlformats.org/markup-compatibility/2006">
          <mc:Choice Requires="x14">
            <control shapeId="2028677" r:id="rId136" name="Option Button 133">
              <controlPr defaultSize="0" autoFill="0" autoLine="0" autoPict="0">
                <anchor moveWithCells="1">
                  <from>
                    <xdr:col>5</xdr:col>
                    <xdr:colOff>571500</xdr:colOff>
                    <xdr:row>102</xdr:row>
                    <xdr:rowOff>85725</xdr:rowOff>
                  </from>
                  <to>
                    <xdr:col>5</xdr:col>
                    <xdr:colOff>847725</xdr:colOff>
                    <xdr:row>102</xdr:row>
                    <xdr:rowOff>304800</xdr:rowOff>
                  </to>
                </anchor>
              </controlPr>
            </control>
          </mc:Choice>
        </mc:AlternateContent>
        <mc:AlternateContent xmlns:mc="http://schemas.openxmlformats.org/markup-compatibility/2006">
          <mc:Choice Requires="x14">
            <control shapeId="2028678" r:id="rId137" name="Option Button 134">
              <controlPr defaultSize="0" autoFill="0" autoLine="0" autoPict="0">
                <anchor moveWithCells="1">
                  <from>
                    <xdr:col>6</xdr:col>
                    <xdr:colOff>457200</xdr:colOff>
                    <xdr:row>102</xdr:row>
                    <xdr:rowOff>85725</xdr:rowOff>
                  </from>
                  <to>
                    <xdr:col>6</xdr:col>
                    <xdr:colOff>733425</xdr:colOff>
                    <xdr:row>102</xdr:row>
                    <xdr:rowOff>304800</xdr:rowOff>
                  </to>
                </anchor>
              </controlPr>
            </control>
          </mc:Choice>
        </mc:AlternateContent>
        <mc:AlternateContent xmlns:mc="http://schemas.openxmlformats.org/markup-compatibility/2006">
          <mc:Choice Requires="x14">
            <control shapeId="2028679" r:id="rId138" name="Option Button 135">
              <controlPr defaultSize="0" autoFill="0" autoLine="0" autoPict="0">
                <anchor moveWithCells="1">
                  <from>
                    <xdr:col>5</xdr:col>
                    <xdr:colOff>533400</xdr:colOff>
                    <xdr:row>108</xdr:row>
                    <xdr:rowOff>104775</xdr:rowOff>
                  </from>
                  <to>
                    <xdr:col>5</xdr:col>
                    <xdr:colOff>809625</xdr:colOff>
                    <xdr:row>108</xdr:row>
                    <xdr:rowOff>333375</xdr:rowOff>
                  </to>
                </anchor>
              </controlPr>
            </control>
          </mc:Choice>
        </mc:AlternateContent>
        <mc:AlternateContent xmlns:mc="http://schemas.openxmlformats.org/markup-compatibility/2006">
          <mc:Choice Requires="x14">
            <control shapeId="2028680" r:id="rId139" name="Option Button 136">
              <controlPr defaultSize="0" autoFill="0" autoLine="0" autoPict="0">
                <anchor moveWithCells="1">
                  <from>
                    <xdr:col>6</xdr:col>
                    <xdr:colOff>466725</xdr:colOff>
                    <xdr:row>108</xdr:row>
                    <xdr:rowOff>85725</xdr:rowOff>
                  </from>
                  <to>
                    <xdr:col>6</xdr:col>
                    <xdr:colOff>752475</xdr:colOff>
                    <xdr:row>108</xdr:row>
                    <xdr:rowOff>304800</xdr:rowOff>
                  </to>
                </anchor>
              </controlPr>
            </control>
          </mc:Choice>
        </mc:AlternateContent>
        <mc:AlternateContent xmlns:mc="http://schemas.openxmlformats.org/markup-compatibility/2006">
          <mc:Choice Requires="x14">
            <control shapeId="2028681" r:id="rId140" name="Option Button 137">
              <controlPr defaultSize="0" autoFill="0" autoLine="0" autoPict="0">
                <anchor moveWithCells="1">
                  <from>
                    <xdr:col>5</xdr:col>
                    <xdr:colOff>542925</xdr:colOff>
                    <xdr:row>110</xdr:row>
                    <xdr:rowOff>85725</xdr:rowOff>
                  </from>
                  <to>
                    <xdr:col>5</xdr:col>
                    <xdr:colOff>828675</xdr:colOff>
                    <xdr:row>110</xdr:row>
                    <xdr:rowOff>304800</xdr:rowOff>
                  </to>
                </anchor>
              </controlPr>
            </control>
          </mc:Choice>
        </mc:AlternateContent>
        <mc:AlternateContent xmlns:mc="http://schemas.openxmlformats.org/markup-compatibility/2006">
          <mc:Choice Requires="x14">
            <control shapeId="2028682" r:id="rId141" name="Option Button 138">
              <controlPr defaultSize="0" autoFill="0" autoLine="0" autoPict="0">
                <anchor moveWithCells="1">
                  <from>
                    <xdr:col>6</xdr:col>
                    <xdr:colOff>457200</xdr:colOff>
                    <xdr:row>110</xdr:row>
                    <xdr:rowOff>85725</xdr:rowOff>
                  </from>
                  <to>
                    <xdr:col>6</xdr:col>
                    <xdr:colOff>733425</xdr:colOff>
                    <xdr:row>110</xdr:row>
                    <xdr:rowOff>304800</xdr:rowOff>
                  </to>
                </anchor>
              </controlPr>
            </control>
          </mc:Choice>
        </mc:AlternateContent>
        <mc:AlternateContent xmlns:mc="http://schemas.openxmlformats.org/markup-compatibility/2006">
          <mc:Choice Requires="x14">
            <control shapeId="2028683" r:id="rId142" name="Option Button 139">
              <controlPr defaultSize="0" autoFill="0" autoLine="0" autoPict="0">
                <anchor moveWithCells="1">
                  <from>
                    <xdr:col>5</xdr:col>
                    <xdr:colOff>533400</xdr:colOff>
                    <xdr:row>112</xdr:row>
                    <xdr:rowOff>104775</xdr:rowOff>
                  </from>
                  <to>
                    <xdr:col>5</xdr:col>
                    <xdr:colOff>809625</xdr:colOff>
                    <xdr:row>112</xdr:row>
                    <xdr:rowOff>333375</xdr:rowOff>
                  </to>
                </anchor>
              </controlPr>
            </control>
          </mc:Choice>
        </mc:AlternateContent>
        <mc:AlternateContent xmlns:mc="http://schemas.openxmlformats.org/markup-compatibility/2006">
          <mc:Choice Requires="x14">
            <control shapeId="2028684" r:id="rId143" name="Option Button 140">
              <controlPr defaultSize="0" autoFill="0" autoLine="0" autoPict="0">
                <anchor moveWithCells="1">
                  <from>
                    <xdr:col>6</xdr:col>
                    <xdr:colOff>457200</xdr:colOff>
                    <xdr:row>112</xdr:row>
                    <xdr:rowOff>104775</xdr:rowOff>
                  </from>
                  <to>
                    <xdr:col>6</xdr:col>
                    <xdr:colOff>733425</xdr:colOff>
                    <xdr:row>112</xdr:row>
                    <xdr:rowOff>333375</xdr:rowOff>
                  </to>
                </anchor>
              </controlPr>
            </control>
          </mc:Choice>
        </mc:AlternateContent>
        <mc:AlternateContent xmlns:mc="http://schemas.openxmlformats.org/markup-compatibility/2006">
          <mc:Choice Requires="x14">
            <control shapeId="2028685" r:id="rId144" name="Option Button 141">
              <controlPr defaultSize="0" autoFill="0" autoLine="0" autoPict="0">
                <anchor moveWithCells="1">
                  <from>
                    <xdr:col>5</xdr:col>
                    <xdr:colOff>523875</xdr:colOff>
                    <xdr:row>114</xdr:row>
                    <xdr:rowOff>85725</xdr:rowOff>
                  </from>
                  <to>
                    <xdr:col>5</xdr:col>
                    <xdr:colOff>809625</xdr:colOff>
                    <xdr:row>114</xdr:row>
                    <xdr:rowOff>304800</xdr:rowOff>
                  </to>
                </anchor>
              </controlPr>
            </control>
          </mc:Choice>
        </mc:AlternateContent>
        <mc:AlternateContent xmlns:mc="http://schemas.openxmlformats.org/markup-compatibility/2006">
          <mc:Choice Requires="x14">
            <control shapeId="2028686" r:id="rId145" name="Option Button 142">
              <controlPr defaultSize="0" autoFill="0" autoLine="0" autoPict="0">
                <anchor moveWithCells="1">
                  <from>
                    <xdr:col>6</xdr:col>
                    <xdr:colOff>457200</xdr:colOff>
                    <xdr:row>114</xdr:row>
                    <xdr:rowOff>104775</xdr:rowOff>
                  </from>
                  <to>
                    <xdr:col>6</xdr:col>
                    <xdr:colOff>733425</xdr:colOff>
                    <xdr:row>114</xdr:row>
                    <xdr:rowOff>333375</xdr:rowOff>
                  </to>
                </anchor>
              </controlPr>
            </control>
          </mc:Choice>
        </mc:AlternateContent>
        <mc:AlternateContent xmlns:mc="http://schemas.openxmlformats.org/markup-compatibility/2006">
          <mc:Choice Requires="x14">
            <control shapeId="2028687" r:id="rId146" name="Option Button 143">
              <controlPr defaultSize="0" autoFill="0" autoLine="0" autoPict="0">
                <anchor moveWithCells="1">
                  <from>
                    <xdr:col>5</xdr:col>
                    <xdr:colOff>533400</xdr:colOff>
                    <xdr:row>116</xdr:row>
                    <xdr:rowOff>85725</xdr:rowOff>
                  </from>
                  <to>
                    <xdr:col>5</xdr:col>
                    <xdr:colOff>809625</xdr:colOff>
                    <xdr:row>116</xdr:row>
                    <xdr:rowOff>304800</xdr:rowOff>
                  </to>
                </anchor>
              </controlPr>
            </control>
          </mc:Choice>
        </mc:AlternateContent>
        <mc:AlternateContent xmlns:mc="http://schemas.openxmlformats.org/markup-compatibility/2006">
          <mc:Choice Requires="x14">
            <control shapeId="2028688" r:id="rId147" name="Option Button 144">
              <controlPr defaultSize="0" autoFill="0" autoLine="0" autoPict="0">
                <anchor moveWithCells="1">
                  <from>
                    <xdr:col>6</xdr:col>
                    <xdr:colOff>457200</xdr:colOff>
                    <xdr:row>116</xdr:row>
                    <xdr:rowOff>104775</xdr:rowOff>
                  </from>
                  <to>
                    <xdr:col>6</xdr:col>
                    <xdr:colOff>733425</xdr:colOff>
                    <xdr:row>116</xdr:row>
                    <xdr:rowOff>333375</xdr:rowOff>
                  </to>
                </anchor>
              </controlPr>
            </control>
          </mc:Choice>
        </mc:AlternateContent>
        <mc:AlternateContent xmlns:mc="http://schemas.openxmlformats.org/markup-compatibility/2006">
          <mc:Choice Requires="x14">
            <control shapeId="2028689" r:id="rId148" name="Option Button 145">
              <controlPr defaultSize="0" autoFill="0" autoLine="0" autoPict="0">
                <anchor moveWithCells="1">
                  <from>
                    <xdr:col>5</xdr:col>
                    <xdr:colOff>533400</xdr:colOff>
                    <xdr:row>118</xdr:row>
                    <xdr:rowOff>76200</xdr:rowOff>
                  </from>
                  <to>
                    <xdr:col>5</xdr:col>
                    <xdr:colOff>809625</xdr:colOff>
                    <xdr:row>118</xdr:row>
                    <xdr:rowOff>295275</xdr:rowOff>
                  </to>
                </anchor>
              </controlPr>
            </control>
          </mc:Choice>
        </mc:AlternateContent>
        <mc:AlternateContent xmlns:mc="http://schemas.openxmlformats.org/markup-compatibility/2006">
          <mc:Choice Requires="x14">
            <control shapeId="2028690" r:id="rId149" name="Option Button 146">
              <controlPr defaultSize="0" autoFill="0" autoLine="0" autoPict="0">
                <anchor moveWithCells="1">
                  <from>
                    <xdr:col>6</xdr:col>
                    <xdr:colOff>466725</xdr:colOff>
                    <xdr:row>118</xdr:row>
                    <xdr:rowOff>85725</xdr:rowOff>
                  </from>
                  <to>
                    <xdr:col>6</xdr:col>
                    <xdr:colOff>752475</xdr:colOff>
                    <xdr:row>118</xdr:row>
                    <xdr:rowOff>304800</xdr:rowOff>
                  </to>
                </anchor>
              </controlPr>
            </control>
          </mc:Choice>
        </mc:AlternateContent>
        <mc:AlternateContent xmlns:mc="http://schemas.openxmlformats.org/markup-compatibility/2006">
          <mc:Choice Requires="x14">
            <control shapeId="2028691" r:id="rId150" name="Option Button 147">
              <controlPr defaultSize="0" autoFill="0" autoLine="0" autoPict="0">
                <anchor moveWithCells="1">
                  <from>
                    <xdr:col>5</xdr:col>
                    <xdr:colOff>542925</xdr:colOff>
                    <xdr:row>120</xdr:row>
                    <xdr:rowOff>104775</xdr:rowOff>
                  </from>
                  <to>
                    <xdr:col>5</xdr:col>
                    <xdr:colOff>828675</xdr:colOff>
                    <xdr:row>120</xdr:row>
                    <xdr:rowOff>333375</xdr:rowOff>
                  </to>
                </anchor>
              </controlPr>
            </control>
          </mc:Choice>
        </mc:AlternateContent>
        <mc:AlternateContent xmlns:mc="http://schemas.openxmlformats.org/markup-compatibility/2006">
          <mc:Choice Requires="x14">
            <control shapeId="2028692" r:id="rId151" name="Option Button 148">
              <controlPr defaultSize="0" autoFill="0" autoLine="0" autoPict="0">
                <anchor moveWithCells="1">
                  <from>
                    <xdr:col>6</xdr:col>
                    <xdr:colOff>457200</xdr:colOff>
                    <xdr:row>120</xdr:row>
                    <xdr:rowOff>85725</xdr:rowOff>
                  </from>
                  <to>
                    <xdr:col>6</xdr:col>
                    <xdr:colOff>733425</xdr:colOff>
                    <xdr:row>120</xdr:row>
                    <xdr:rowOff>304800</xdr:rowOff>
                  </to>
                </anchor>
              </controlPr>
            </control>
          </mc:Choice>
        </mc:AlternateContent>
        <mc:AlternateContent xmlns:mc="http://schemas.openxmlformats.org/markup-compatibility/2006">
          <mc:Choice Requires="x14">
            <control shapeId="2028693" r:id="rId152" name="Option Button 149">
              <controlPr defaultSize="0" autoFill="0" autoLine="0" autoPict="0">
                <anchor moveWithCells="1">
                  <from>
                    <xdr:col>5</xdr:col>
                    <xdr:colOff>542925</xdr:colOff>
                    <xdr:row>122</xdr:row>
                    <xdr:rowOff>85725</xdr:rowOff>
                  </from>
                  <to>
                    <xdr:col>5</xdr:col>
                    <xdr:colOff>828675</xdr:colOff>
                    <xdr:row>122</xdr:row>
                    <xdr:rowOff>304800</xdr:rowOff>
                  </to>
                </anchor>
              </controlPr>
            </control>
          </mc:Choice>
        </mc:AlternateContent>
        <mc:AlternateContent xmlns:mc="http://schemas.openxmlformats.org/markup-compatibility/2006">
          <mc:Choice Requires="x14">
            <control shapeId="2028694" r:id="rId153" name="Option Button 150">
              <controlPr defaultSize="0" autoFill="0" autoLine="0" autoPict="0">
                <anchor moveWithCells="1">
                  <from>
                    <xdr:col>6</xdr:col>
                    <xdr:colOff>457200</xdr:colOff>
                    <xdr:row>122</xdr:row>
                    <xdr:rowOff>104775</xdr:rowOff>
                  </from>
                  <to>
                    <xdr:col>6</xdr:col>
                    <xdr:colOff>733425</xdr:colOff>
                    <xdr:row>122</xdr:row>
                    <xdr:rowOff>333375</xdr:rowOff>
                  </to>
                </anchor>
              </controlPr>
            </control>
          </mc:Choice>
        </mc:AlternateContent>
        <mc:AlternateContent xmlns:mc="http://schemas.openxmlformats.org/markup-compatibility/2006">
          <mc:Choice Requires="x14">
            <control shapeId="2028695" r:id="rId154" name="Option Button 151">
              <controlPr defaultSize="0" autoFill="0" autoLine="0" autoPict="0">
                <anchor moveWithCells="1">
                  <from>
                    <xdr:col>5</xdr:col>
                    <xdr:colOff>542925</xdr:colOff>
                    <xdr:row>124</xdr:row>
                    <xdr:rowOff>114300</xdr:rowOff>
                  </from>
                  <to>
                    <xdr:col>5</xdr:col>
                    <xdr:colOff>828675</xdr:colOff>
                    <xdr:row>124</xdr:row>
                    <xdr:rowOff>333375</xdr:rowOff>
                  </to>
                </anchor>
              </controlPr>
            </control>
          </mc:Choice>
        </mc:AlternateContent>
        <mc:AlternateContent xmlns:mc="http://schemas.openxmlformats.org/markup-compatibility/2006">
          <mc:Choice Requires="x14">
            <control shapeId="2028696" r:id="rId155" name="Option Button 152">
              <controlPr defaultSize="0" autoFill="0" autoLine="0" autoPict="0">
                <anchor moveWithCells="1">
                  <from>
                    <xdr:col>6</xdr:col>
                    <xdr:colOff>466725</xdr:colOff>
                    <xdr:row>124</xdr:row>
                    <xdr:rowOff>85725</xdr:rowOff>
                  </from>
                  <to>
                    <xdr:col>6</xdr:col>
                    <xdr:colOff>752475</xdr:colOff>
                    <xdr:row>124</xdr:row>
                    <xdr:rowOff>304800</xdr:rowOff>
                  </to>
                </anchor>
              </controlPr>
            </control>
          </mc:Choice>
        </mc:AlternateContent>
        <mc:AlternateContent xmlns:mc="http://schemas.openxmlformats.org/markup-compatibility/2006">
          <mc:Choice Requires="x14">
            <control shapeId="2028697" r:id="rId156" name="Option Button 153">
              <controlPr defaultSize="0" autoFill="0" autoLine="0" autoPict="0">
                <anchor moveWithCells="1">
                  <from>
                    <xdr:col>5</xdr:col>
                    <xdr:colOff>523875</xdr:colOff>
                    <xdr:row>126</xdr:row>
                    <xdr:rowOff>114300</xdr:rowOff>
                  </from>
                  <to>
                    <xdr:col>5</xdr:col>
                    <xdr:colOff>809625</xdr:colOff>
                    <xdr:row>126</xdr:row>
                    <xdr:rowOff>333375</xdr:rowOff>
                  </to>
                </anchor>
              </controlPr>
            </control>
          </mc:Choice>
        </mc:AlternateContent>
        <mc:AlternateContent xmlns:mc="http://schemas.openxmlformats.org/markup-compatibility/2006">
          <mc:Choice Requires="x14">
            <control shapeId="2028698" r:id="rId157" name="Option Button 154">
              <controlPr defaultSize="0" autoFill="0" autoLine="0" autoPict="0">
                <anchor moveWithCells="1">
                  <from>
                    <xdr:col>6</xdr:col>
                    <xdr:colOff>457200</xdr:colOff>
                    <xdr:row>126</xdr:row>
                    <xdr:rowOff>142875</xdr:rowOff>
                  </from>
                  <to>
                    <xdr:col>6</xdr:col>
                    <xdr:colOff>733425</xdr:colOff>
                    <xdr:row>126</xdr:row>
                    <xdr:rowOff>371475</xdr:rowOff>
                  </to>
                </anchor>
              </controlPr>
            </control>
          </mc:Choice>
        </mc:AlternateContent>
        <mc:AlternateContent xmlns:mc="http://schemas.openxmlformats.org/markup-compatibility/2006">
          <mc:Choice Requires="x14">
            <control shapeId="2028699" r:id="rId158" name="Option Button 155">
              <controlPr defaultSize="0" autoFill="0" autoLine="0" autoPict="0">
                <anchor moveWithCells="1">
                  <from>
                    <xdr:col>5</xdr:col>
                    <xdr:colOff>542925</xdr:colOff>
                    <xdr:row>128</xdr:row>
                    <xdr:rowOff>104775</xdr:rowOff>
                  </from>
                  <to>
                    <xdr:col>5</xdr:col>
                    <xdr:colOff>828675</xdr:colOff>
                    <xdr:row>128</xdr:row>
                    <xdr:rowOff>333375</xdr:rowOff>
                  </to>
                </anchor>
              </controlPr>
            </control>
          </mc:Choice>
        </mc:AlternateContent>
        <mc:AlternateContent xmlns:mc="http://schemas.openxmlformats.org/markup-compatibility/2006">
          <mc:Choice Requires="x14">
            <control shapeId="2028700" r:id="rId159" name="Option Button 156">
              <controlPr defaultSize="0" autoFill="0" autoLine="0" autoPict="0">
                <anchor moveWithCells="1">
                  <from>
                    <xdr:col>6</xdr:col>
                    <xdr:colOff>466725</xdr:colOff>
                    <xdr:row>128</xdr:row>
                    <xdr:rowOff>104775</xdr:rowOff>
                  </from>
                  <to>
                    <xdr:col>6</xdr:col>
                    <xdr:colOff>752475</xdr:colOff>
                    <xdr:row>128</xdr:row>
                    <xdr:rowOff>333375</xdr:rowOff>
                  </to>
                </anchor>
              </controlPr>
            </control>
          </mc:Choice>
        </mc:AlternateContent>
        <mc:AlternateContent xmlns:mc="http://schemas.openxmlformats.org/markup-compatibility/2006">
          <mc:Choice Requires="x14">
            <control shapeId="2028701" r:id="rId160" name="Option Button 157">
              <controlPr defaultSize="0" autoFill="0" autoLine="0" autoPict="0">
                <anchor moveWithCells="1">
                  <from>
                    <xdr:col>5</xdr:col>
                    <xdr:colOff>542925</xdr:colOff>
                    <xdr:row>134</xdr:row>
                    <xdr:rowOff>104775</xdr:rowOff>
                  </from>
                  <to>
                    <xdr:col>5</xdr:col>
                    <xdr:colOff>828675</xdr:colOff>
                    <xdr:row>134</xdr:row>
                    <xdr:rowOff>333375</xdr:rowOff>
                  </to>
                </anchor>
              </controlPr>
            </control>
          </mc:Choice>
        </mc:AlternateContent>
        <mc:AlternateContent xmlns:mc="http://schemas.openxmlformats.org/markup-compatibility/2006">
          <mc:Choice Requires="x14">
            <control shapeId="2028702" r:id="rId161" name="Option Button 158">
              <controlPr defaultSize="0" autoFill="0" autoLine="0" autoPict="0">
                <anchor moveWithCells="1">
                  <from>
                    <xdr:col>6</xdr:col>
                    <xdr:colOff>466725</xdr:colOff>
                    <xdr:row>134</xdr:row>
                    <xdr:rowOff>104775</xdr:rowOff>
                  </from>
                  <to>
                    <xdr:col>6</xdr:col>
                    <xdr:colOff>752475</xdr:colOff>
                    <xdr:row>134</xdr:row>
                    <xdr:rowOff>333375</xdr:rowOff>
                  </to>
                </anchor>
              </controlPr>
            </control>
          </mc:Choice>
        </mc:AlternateContent>
        <mc:AlternateContent xmlns:mc="http://schemas.openxmlformats.org/markup-compatibility/2006">
          <mc:Choice Requires="x14">
            <control shapeId="2028703" r:id="rId162" name="Option Button 159">
              <controlPr defaultSize="0" autoFill="0" autoLine="0" autoPict="0">
                <anchor moveWithCells="1">
                  <from>
                    <xdr:col>5</xdr:col>
                    <xdr:colOff>523875</xdr:colOff>
                    <xdr:row>140</xdr:row>
                    <xdr:rowOff>85725</xdr:rowOff>
                  </from>
                  <to>
                    <xdr:col>5</xdr:col>
                    <xdr:colOff>809625</xdr:colOff>
                    <xdr:row>140</xdr:row>
                    <xdr:rowOff>304800</xdr:rowOff>
                  </to>
                </anchor>
              </controlPr>
            </control>
          </mc:Choice>
        </mc:AlternateContent>
        <mc:AlternateContent xmlns:mc="http://schemas.openxmlformats.org/markup-compatibility/2006">
          <mc:Choice Requires="x14">
            <control shapeId="2028704" r:id="rId163" name="Option Button 160">
              <controlPr defaultSize="0" autoFill="0" autoLine="0" autoPict="0">
                <anchor moveWithCells="1">
                  <from>
                    <xdr:col>6</xdr:col>
                    <xdr:colOff>428625</xdr:colOff>
                    <xdr:row>140</xdr:row>
                    <xdr:rowOff>85725</xdr:rowOff>
                  </from>
                  <to>
                    <xdr:col>6</xdr:col>
                    <xdr:colOff>714375</xdr:colOff>
                    <xdr:row>140</xdr:row>
                    <xdr:rowOff>304800</xdr:rowOff>
                  </to>
                </anchor>
              </controlPr>
            </control>
          </mc:Choice>
        </mc:AlternateContent>
        <mc:AlternateContent xmlns:mc="http://schemas.openxmlformats.org/markup-compatibility/2006">
          <mc:Choice Requires="x14">
            <control shapeId="2028705" r:id="rId164" name="Option Button 161">
              <controlPr defaultSize="0" autoFill="0" autoLine="0" autoPict="0">
                <anchor moveWithCells="1">
                  <from>
                    <xdr:col>5</xdr:col>
                    <xdr:colOff>571500</xdr:colOff>
                    <xdr:row>142</xdr:row>
                    <xdr:rowOff>104775</xdr:rowOff>
                  </from>
                  <to>
                    <xdr:col>5</xdr:col>
                    <xdr:colOff>847725</xdr:colOff>
                    <xdr:row>142</xdr:row>
                    <xdr:rowOff>333375</xdr:rowOff>
                  </to>
                </anchor>
              </controlPr>
            </control>
          </mc:Choice>
        </mc:AlternateContent>
        <mc:AlternateContent xmlns:mc="http://schemas.openxmlformats.org/markup-compatibility/2006">
          <mc:Choice Requires="x14">
            <control shapeId="2028706" r:id="rId165" name="Option Button 162">
              <controlPr defaultSize="0" autoFill="0" autoLine="0" autoPict="0">
                <anchor moveWithCells="1">
                  <from>
                    <xdr:col>6</xdr:col>
                    <xdr:colOff>428625</xdr:colOff>
                    <xdr:row>142</xdr:row>
                    <xdr:rowOff>85725</xdr:rowOff>
                  </from>
                  <to>
                    <xdr:col>6</xdr:col>
                    <xdr:colOff>714375</xdr:colOff>
                    <xdr:row>142</xdr:row>
                    <xdr:rowOff>304800</xdr:rowOff>
                  </to>
                </anchor>
              </controlPr>
            </control>
          </mc:Choice>
        </mc:AlternateContent>
        <mc:AlternateContent xmlns:mc="http://schemas.openxmlformats.org/markup-compatibility/2006">
          <mc:Choice Requires="x14">
            <control shapeId="2028707" r:id="rId166" name="Option Button 163">
              <controlPr defaultSize="0" autoFill="0" autoLine="0" autoPict="0">
                <anchor moveWithCells="1">
                  <from>
                    <xdr:col>5</xdr:col>
                    <xdr:colOff>600075</xdr:colOff>
                    <xdr:row>144</xdr:row>
                    <xdr:rowOff>85725</xdr:rowOff>
                  </from>
                  <to>
                    <xdr:col>5</xdr:col>
                    <xdr:colOff>876300</xdr:colOff>
                    <xdr:row>144</xdr:row>
                    <xdr:rowOff>304800</xdr:rowOff>
                  </to>
                </anchor>
              </controlPr>
            </control>
          </mc:Choice>
        </mc:AlternateContent>
        <mc:AlternateContent xmlns:mc="http://schemas.openxmlformats.org/markup-compatibility/2006">
          <mc:Choice Requires="x14">
            <control shapeId="2028708" r:id="rId167" name="Option Button 164">
              <controlPr defaultSize="0" autoFill="0" autoLine="0" autoPict="0">
                <anchor moveWithCells="1">
                  <from>
                    <xdr:col>6</xdr:col>
                    <xdr:colOff>466725</xdr:colOff>
                    <xdr:row>144</xdr:row>
                    <xdr:rowOff>85725</xdr:rowOff>
                  </from>
                  <to>
                    <xdr:col>6</xdr:col>
                    <xdr:colOff>752475</xdr:colOff>
                    <xdr:row>144</xdr:row>
                    <xdr:rowOff>304800</xdr:rowOff>
                  </to>
                </anchor>
              </controlPr>
            </control>
          </mc:Choice>
        </mc:AlternateContent>
        <mc:AlternateContent xmlns:mc="http://schemas.openxmlformats.org/markup-compatibility/2006">
          <mc:Choice Requires="x14">
            <control shapeId="2028709" r:id="rId168" name="Option Button 165">
              <controlPr defaultSize="0" autoFill="0" autoLine="0" autoPict="0">
                <anchor moveWithCells="1">
                  <from>
                    <xdr:col>5</xdr:col>
                    <xdr:colOff>571500</xdr:colOff>
                    <xdr:row>146</xdr:row>
                    <xdr:rowOff>85725</xdr:rowOff>
                  </from>
                  <to>
                    <xdr:col>5</xdr:col>
                    <xdr:colOff>847725</xdr:colOff>
                    <xdr:row>146</xdr:row>
                    <xdr:rowOff>304800</xdr:rowOff>
                  </to>
                </anchor>
              </controlPr>
            </control>
          </mc:Choice>
        </mc:AlternateContent>
        <mc:AlternateContent xmlns:mc="http://schemas.openxmlformats.org/markup-compatibility/2006">
          <mc:Choice Requires="x14">
            <control shapeId="2028710" r:id="rId169" name="Option Button 166">
              <controlPr defaultSize="0" autoFill="0" autoLine="0" autoPict="0">
                <anchor moveWithCells="1">
                  <from>
                    <xdr:col>6</xdr:col>
                    <xdr:colOff>466725</xdr:colOff>
                    <xdr:row>146</xdr:row>
                    <xdr:rowOff>76200</xdr:rowOff>
                  </from>
                  <to>
                    <xdr:col>6</xdr:col>
                    <xdr:colOff>752475</xdr:colOff>
                    <xdr:row>146</xdr:row>
                    <xdr:rowOff>295275</xdr:rowOff>
                  </to>
                </anchor>
              </controlPr>
            </control>
          </mc:Choice>
        </mc:AlternateContent>
        <mc:AlternateContent xmlns:mc="http://schemas.openxmlformats.org/markup-compatibility/2006">
          <mc:Choice Requires="x14">
            <control shapeId="2028711" r:id="rId170" name="Option Button 167">
              <controlPr defaultSize="0" autoFill="0" autoLine="0" autoPict="0">
                <anchor moveWithCells="1">
                  <from>
                    <xdr:col>5</xdr:col>
                    <xdr:colOff>571500</xdr:colOff>
                    <xdr:row>148</xdr:row>
                    <xdr:rowOff>104775</xdr:rowOff>
                  </from>
                  <to>
                    <xdr:col>5</xdr:col>
                    <xdr:colOff>847725</xdr:colOff>
                    <xdr:row>148</xdr:row>
                    <xdr:rowOff>333375</xdr:rowOff>
                  </to>
                </anchor>
              </controlPr>
            </control>
          </mc:Choice>
        </mc:AlternateContent>
        <mc:AlternateContent xmlns:mc="http://schemas.openxmlformats.org/markup-compatibility/2006">
          <mc:Choice Requires="x14">
            <control shapeId="2028712" r:id="rId171" name="Option Button 168">
              <controlPr defaultSize="0" autoFill="0" autoLine="0" autoPict="0">
                <anchor moveWithCells="1">
                  <from>
                    <xdr:col>6</xdr:col>
                    <xdr:colOff>485775</xdr:colOff>
                    <xdr:row>148</xdr:row>
                    <xdr:rowOff>104775</xdr:rowOff>
                  </from>
                  <to>
                    <xdr:col>6</xdr:col>
                    <xdr:colOff>771525</xdr:colOff>
                    <xdr:row>148</xdr:row>
                    <xdr:rowOff>333375</xdr:rowOff>
                  </to>
                </anchor>
              </controlPr>
            </control>
          </mc:Choice>
        </mc:AlternateContent>
        <mc:AlternateContent xmlns:mc="http://schemas.openxmlformats.org/markup-compatibility/2006">
          <mc:Choice Requires="x14">
            <control shapeId="2028713" r:id="rId172" name="Option Button 169">
              <controlPr defaultSize="0" autoFill="0" autoLine="0" autoPict="0">
                <anchor moveWithCells="1">
                  <from>
                    <xdr:col>5</xdr:col>
                    <xdr:colOff>561975</xdr:colOff>
                    <xdr:row>150</xdr:row>
                    <xdr:rowOff>104775</xdr:rowOff>
                  </from>
                  <to>
                    <xdr:col>5</xdr:col>
                    <xdr:colOff>838200</xdr:colOff>
                    <xdr:row>150</xdr:row>
                    <xdr:rowOff>333375</xdr:rowOff>
                  </to>
                </anchor>
              </controlPr>
            </control>
          </mc:Choice>
        </mc:AlternateContent>
        <mc:AlternateContent xmlns:mc="http://schemas.openxmlformats.org/markup-compatibility/2006">
          <mc:Choice Requires="x14">
            <control shapeId="2028714" r:id="rId173" name="Option Button 170">
              <controlPr defaultSize="0" autoFill="0" autoLine="0" autoPict="0">
                <anchor moveWithCells="1">
                  <from>
                    <xdr:col>6</xdr:col>
                    <xdr:colOff>466725</xdr:colOff>
                    <xdr:row>150</xdr:row>
                    <xdr:rowOff>104775</xdr:rowOff>
                  </from>
                  <to>
                    <xdr:col>6</xdr:col>
                    <xdr:colOff>752475</xdr:colOff>
                    <xdr:row>150</xdr:row>
                    <xdr:rowOff>333375</xdr:rowOff>
                  </to>
                </anchor>
              </controlPr>
            </control>
          </mc:Choice>
        </mc:AlternateContent>
        <mc:AlternateContent xmlns:mc="http://schemas.openxmlformats.org/markup-compatibility/2006">
          <mc:Choice Requires="x14">
            <control shapeId="2028715" r:id="rId174" name="Option Button 171">
              <controlPr defaultSize="0" autoFill="0" autoLine="0" autoPict="0">
                <anchor moveWithCells="1">
                  <from>
                    <xdr:col>5</xdr:col>
                    <xdr:colOff>571500</xdr:colOff>
                    <xdr:row>152</xdr:row>
                    <xdr:rowOff>104775</xdr:rowOff>
                  </from>
                  <to>
                    <xdr:col>5</xdr:col>
                    <xdr:colOff>847725</xdr:colOff>
                    <xdr:row>152</xdr:row>
                    <xdr:rowOff>333375</xdr:rowOff>
                  </to>
                </anchor>
              </controlPr>
            </control>
          </mc:Choice>
        </mc:AlternateContent>
        <mc:AlternateContent xmlns:mc="http://schemas.openxmlformats.org/markup-compatibility/2006">
          <mc:Choice Requires="x14">
            <control shapeId="2028716" r:id="rId175" name="Option Button 172">
              <controlPr defaultSize="0" autoFill="0" autoLine="0" autoPict="0">
                <anchor moveWithCells="1">
                  <from>
                    <xdr:col>6</xdr:col>
                    <xdr:colOff>457200</xdr:colOff>
                    <xdr:row>152</xdr:row>
                    <xdr:rowOff>104775</xdr:rowOff>
                  </from>
                  <to>
                    <xdr:col>6</xdr:col>
                    <xdr:colOff>733425</xdr:colOff>
                    <xdr:row>152</xdr:row>
                    <xdr:rowOff>333375</xdr:rowOff>
                  </to>
                </anchor>
              </controlPr>
            </control>
          </mc:Choice>
        </mc:AlternateContent>
        <mc:AlternateContent xmlns:mc="http://schemas.openxmlformats.org/markup-compatibility/2006">
          <mc:Choice Requires="x14">
            <control shapeId="2028717" r:id="rId176" name="Option Button 173">
              <controlPr defaultSize="0" autoFill="0" autoLine="0" autoPict="0">
                <anchor moveWithCells="1">
                  <from>
                    <xdr:col>5</xdr:col>
                    <xdr:colOff>561975</xdr:colOff>
                    <xdr:row>154</xdr:row>
                    <xdr:rowOff>104775</xdr:rowOff>
                  </from>
                  <to>
                    <xdr:col>5</xdr:col>
                    <xdr:colOff>838200</xdr:colOff>
                    <xdr:row>154</xdr:row>
                    <xdr:rowOff>333375</xdr:rowOff>
                  </to>
                </anchor>
              </controlPr>
            </control>
          </mc:Choice>
        </mc:AlternateContent>
        <mc:AlternateContent xmlns:mc="http://schemas.openxmlformats.org/markup-compatibility/2006">
          <mc:Choice Requires="x14">
            <control shapeId="2028718" r:id="rId177" name="Option Button 174">
              <controlPr defaultSize="0" autoFill="0" autoLine="0" autoPict="0">
                <anchor moveWithCells="1">
                  <from>
                    <xdr:col>6</xdr:col>
                    <xdr:colOff>466725</xdr:colOff>
                    <xdr:row>154</xdr:row>
                    <xdr:rowOff>104775</xdr:rowOff>
                  </from>
                  <to>
                    <xdr:col>6</xdr:col>
                    <xdr:colOff>752475</xdr:colOff>
                    <xdr:row>154</xdr:row>
                    <xdr:rowOff>333375</xdr:rowOff>
                  </to>
                </anchor>
              </controlPr>
            </control>
          </mc:Choice>
        </mc:AlternateContent>
        <mc:AlternateContent xmlns:mc="http://schemas.openxmlformats.org/markup-compatibility/2006">
          <mc:Choice Requires="x14">
            <control shapeId="2028719" r:id="rId178" name="Option Button 175">
              <controlPr defaultSize="0" autoFill="0" autoLine="0" autoPict="0">
                <anchor moveWithCells="1">
                  <from>
                    <xdr:col>5</xdr:col>
                    <xdr:colOff>581025</xdr:colOff>
                    <xdr:row>156</xdr:row>
                    <xdr:rowOff>104775</xdr:rowOff>
                  </from>
                  <to>
                    <xdr:col>5</xdr:col>
                    <xdr:colOff>866775</xdr:colOff>
                    <xdr:row>156</xdr:row>
                    <xdr:rowOff>333375</xdr:rowOff>
                  </to>
                </anchor>
              </controlPr>
            </control>
          </mc:Choice>
        </mc:AlternateContent>
        <mc:AlternateContent xmlns:mc="http://schemas.openxmlformats.org/markup-compatibility/2006">
          <mc:Choice Requires="x14">
            <control shapeId="2028720" r:id="rId179" name="Option Button 176">
              <controlPr defaultSize="0" autoFill="0" autoLine="0" autoPict="0">
                <anchor moveWithCells="1">
                  <from>
                    <xdr:col>6</xdr:col>
                    <xdr:colOff>466725</xdr:colOff>
                    <xdr:row>156</xdr:row>
                    <xdr:rowOff>85725</xdr:rowOff>
                  </from>
                  <to>
                    <xdr:col>6</xdr:col>
                    <xdr:colOff>752475</xdr:colOff>
                    <xdr:row>156</xdr:row>
                    <xdr:rowOff>304800</xdr:rowOff>
                  </to>
                </anchor>
              </controlPr>
            </control>
          </mc:Choice>
        </mc:AlternateContent>
        <mc:AlternateContent xmlns:mc="http://schemas.openxmlformats.org/markup-compatibility/2006">
          <mc:Choice Requires="x14">
            <control shapeId="2028721" r:id="rId180" name="Option Button 177">
              <controlPr defaultSize="0" autoFill="0" autoLine="0" autoPict="0">
                <anchor moveWithCells="1">
                  <from>
                    <xdr:col>5</xdr:col>
                    <xdr:colOff>600075</xdr:colOff>
                    <xdr:row>158</xdr:row>
                    <xdr:rowOff>114300</xdr:rowOff>
                  </from>
                  <to>
                    <xdr:col>5</xdr:col>
                    <xdr:colOff>876300</xdr:colOff>
                    <xdr:row>158</xdr:row>
                    <xdr:rowOff>333375</xdr:rowOff>
                  </to>
                </anchor>
              </controlPr>
            </control>
          </mc:Choice>
        </mc:AlternateContent>
        <mc:AlternateContent xmlns:mc="http://schemas.openxmlformats.org/markup-compatibility/2006">
          <mc:Choice Requires="x14">
            <control shapeId="2028722" r:id="rId181" name="Option Button 178">
              <controlPr defaultSize="0" autoFill="0" autoLine="0" autoPict="0">
                <anchor moveWithCells="1">
                  <from>
                    <xdr:col>6</xdr:col>
                    <xdr:colOff>485775</xdr:colOff>
                    <xdr:row>158</xdr:row>
                    <xdr:rowOff>104775</xdr:rowOff>
                  </from>
                  <to>
                    <xdr:col>6</xdr:col>
                    <xdr:colOff>771525</xdr:colOff>
                    <xdr:row>158</xdr:row>
                    <xdr:rowOff>333375</xdr:rowOff>
                  </to>
                </anchor>
              </controlPr>
            </control>
          </mc:Choice>
        </mc:AlternateContent>
        <mc:AlternateContent xmlns:mc="http://schemas.openxmlformats.org/markup-compatibility/2006">
          <mc:Choice Requires="x14">
            <control shapeId="2028723" r:id="rId182" name="Option Button 179">
              <controlPr defaultSize="0" autoFill="0" autoLine="0" autoPict="0">
                <anchor moveWithCells="1">
                  <from>
                    <xdr:col>5</xdr:col>
                    <xdr:colOff>561975</xdr:colOff>
                    <xdr:row>160</xdr:row>
                    <xdr:rowOff>104775</xdr:rowOff>
                  </from>
                  <to>
                    <xdr:col>5</xdr:col>
                    <xdr:colOff>838200</xdr:colOff>
                    <xdr:row>160</xdr:row>
                    <xdr:rowOff>333375</xdr:rowOff>
                  </to>
                </anchor>
              </controlPr>
            </control>
          </mc:Choice>
        </mc:AlternateContent>
        <mc:AlternateContent xmlns:mc="http://schemas.openxmlformats.org/markup-compatibility/2006">
          <mc:Choice Requires="x14">
            <control shapeId="2028724" r:id="rId183" name="Option Button 180">
              <controlPr defaultSize="0" autoFill="0" autoLine="0" autoPict="0">
                <anchor moveWithCells="1">
                  <from>
                    <xdr:col>6</xdr:col>
                    <xdr:colOff>485775</xdr:colOff>
                    <xdr:row>160</xdr:row>
                    <xdr:rowOff>114300</xdr:rowOff>
                  </from>
                  <to>
                    <xdr:col>6</xdr:col>
                    <xdr:colOff>771525</xdr:colOff>
                    <xdr:row>160</xdr:row>
                    <xdr:rowOff>333375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8"/>
  <dimension ref="A1:AK38"/>
  <sheetViews>
    <sheetView showGridLines="0" zoomScaleNormal="100" workbookViewId="0">
      <pane xSplit="2" ySplit="5" topLeftCell="C6" activePane="bottomRight" state="frozen"/>
      <selection activeCell="A2" sqref="A2"/>
      <selection pane="topRight" activeCell="A2" sqref="A2"/>
      <selection pane="bottomLeft" activeCell="A2" sqref="A2"/>
      <selection pane="bottomRight" activeCell="AH13" sqref="AH13"/>
    </sheetView>
  </sheetViews>
  <sheetFormatPr defaultColWidth="9.33203125" defaultRowHeight="11.25" x14ac:dyDescent="0.2"/>
  <cols>
    <col min="1" max="1" width="62" style="3" customWidth="1"/>
    <col min="2" max="2" width="9.6640625" style="2" customWidth="1"/>
    <col min="3" max="12" width="12.6640625" style="3" hidden="1" customWidth="1"/>
    <col min="13" max="13" width="9.33203125" style="740" hidden="1" customWidth="1"/>
    <col min="14" max="15" width="11.6640625" style="824" hidden="1" customWidth="1"/>
    <col min="16" max="26" width="9.33203125" style="3" hidden="1" customWidth="1"/>
    <col min="27" max="36" width="12.6640625" style="3" customWidth="1"/>
    <col min="37" max="37" width="9.33203125" style="740" customWidth="1"/>
    <col min="38" max="16384" width="9.33203125" style="3"/>
  </cols>
  <sheetData>
    <row r="1" spans="1:37" ht="24.75" customHeight="1" thickBot="1" x14ac:dyDescent="0.25">
      <c r="A1" s="765" t="str">
        <f>"REGIONE VALLE D'AOSTA"&amp;" - anno "&amp;$L$1</f>
        <v>REGIONE VALLE D'AOSTA - anno 2024</v>
      </c>
      <c r="B1" s="765"/>
      <c r="C1" s="765"/>
      <c r="D1" s="765"/>
      <c r="E1" s="765"/>
      <c r="F1" s="765"/>
      <c r="G1" s="765"/>
      <c r="H1" s="765"/>
      <c r="I1" s="765"/>
      <c r="J1" s="765"/>
      <c r="K1" s="270"/>
      <c r="L1" s="601">
        <v>2024</v>
      </c>
      <c r="AI1" s="270"/>
      <c r="AJ1" s="601"/>
    </row>
    <row r="2" spans="1:37" ht="30" customHeight="1" thickBot="1" x14ac:dyDescent="0.25">
      <c r="A2" s="5"/>
      <c r="G2" s="1463"/>
      <c r="H2" s="1463"/>
      <c r="I2" s="1463"/>
      <c r="J2" s="1463"/>
      <c r="K2" s="1463"/>
      <c r="L2" s="1463"/>
      <c r="AE2" s="1455"/>
      <c r="AF2" s="1456"/>
      <c r="AG2" s="1456"/>
      <c r="AH2" s="1456"/>
      <c r="AI2" s="1456"/>
      <c r="AJ2" s="1457"/>
    </row>
    <row r="3" spans="1:37" ht="15" customHeight="1" thickBot="1" x14ac:dyDescent="0.25">
      <c r="A3" s="319"/>
      <c r="B3" s="320"/>
      <c r="C3" s="1458" t="s">
        <v>67</v>
      </c>
      <c r="D3" s="1458"/>
      <c r="E3" s="1458"/>
      <c r="F3" s="1458"/>
      <c r="G3" s="1459"/>
      <c r="H3" s="1459"/>
      <c r="I3" s="1459"/>
      <c r="J3" s="1459"/>
      <c r="K3" s="1459"/>
      <c r="L3" s="1460"/>
      <c r="AA3" s="1458" t="s">
        <v>67</v>
      </c>
      <c r="AB3" s="1458"/>
      <c r="AC3" s="1458"/>
      <c r="AD3" s="1458"/>
      <c r="AE3" s="1459"/>
      <c r="AF3" s="1459"/>
      <c r="AG3" s="1459"/>
      <c r="AH3" s="1459"/>
      <c r="AI3" s="1459"/>
      <c r="AJ3" s="1460"/>
    </row>
    <row r="4" spans="1:37" ht="23.25" thickTop="1" x14ac:dyDescent="0.2">
      <c r="A4" s="742" t="s">
        <v>135</v>
      </c>
      <c r="B4" s="1461" t="s">
        <v>68</v>
      </c>
      <c r="C4" s="15" t="str">
        <f>"Totale dipendenti al 31/12/"&amp;L1-1&amp;" (*)"</f>
        <v>Totale dipendenti al 31/12/2023 (*)</v>
      </c>
      <c r="D4" s="14"/>
      <c r="E4" s="13" t="s">
        <v>72</v>
      </c>
      <c r="F4" s="14"/>
      <c r="G4" s="15" t="s">
        <v>127</v>
      </c>
      <c r="H4" s="14"/>
      <c r="I4" s="15" t="s">
        <v>128</v>
      </c>
      <c r="J4" s="14"/>
      <c r="K4" s="15" t="str">
        <f>"Totale dipendenti al 31/12/"&amp;L1&amp;" (**)"</f>
        <v>Totale dipendenti al 31/12/2024 (**)</v>
      </c>
      <c r="L4" s="256"/>
      <c r="AA4" s="15" t="str">
        <f>"Totale dipendenti al 31/12/"&amp;L1-1&amp;" (*)"</f>
        <v>Totale dipendenti al 31/12/2023 (*)</v>
      </c>
      <c r="AB4" s="14"/>
      <c r="AC4" s="13" t="s">
        <v>72</v>
      </c>
      <c r="AD4" s="14"/>
      <c r="AE4" s="15" t="s">
        <v>127</v>
      </c>
      <c r="AF4" s="14"/>
      <c r="AG4" s="15" t="s">
        <v>128</v>
      </c>
      <c r="AH4" s="14"/>
      <c r="AI4" s="15" t="str">
        <f>"Totale dipendenti al 31/12/"&amp;L1&amp;" (**)"</f>
        <v>Totale dipendenti al 31/12/2024 (**)</v>
      </c>
      <c r="AJ4" s="256"/>
    </row>
    <row r="5" spans="1:37" ht="12" thickBot="1" x14ac:dyDescent="0.25">
      <c r="A5" s="743" t="s">
        <v>636</v>
      </c>
      <c r="B5" s="1462"/>
      <c r="C5" s="211" t="s">
        <v>69</v>
      </c>
      <c r="D5" s="212" t="s">
        <v>70</v>
      </c>
      <c r="E5" s="211" t="s">
        <v>69</v>
      </c>
      <c r="F5" s="212" t="s">
        <v>70</v>
      </c>
      <c r="G5" s="211" t="s">
        <v>69</v>
      </c>
      <c r="H5" s="212" t="s">
        <v>70</v>
      </c>
      <c r="I5" s="211" t="s">
        <v>69</v>
      </c>
      <c r="J5" s="212" t="s">
        <v>70</v>
      </c>
      <c r="K5" s="211" t="s">
        <v>69</v>
      </c>
      <c r="L5" s="257" t="s">
        <v>70</v>
      </c>
      <c r="N5" s="824" t="s">
        <v>921</v>
      </c>
      <c r="AA5" s="211" t="s">
        <v>69</v>
      </c>
      <c r="AB5" s="212" t="s">
        <v>70</v>
      </c>
      <c r="AC5" s="211" t="s">
        <v>69</v>
      </c>
      <c r="AD5" s="212" t="s">
        <v>70</v>
      </c>
      <c r="AE5" s="211" t="s">
        <v>69</v>
      </c>
      <c r="AF5" s="212" t="s">
        <v>70</v>
      </c>
      <c r="AG5" s="211" t="s">
        <v>69</v>
      </c>
      <c r="AH5" s="212" t="s">
        <v>70</v>
      </c>
      <c r="AI5" s="211" t="s">
        <v>69</v>
      </c>
      <c r="AJ5" s="257" t="s">
        <v>70</v>
      </c>
    </row>
    <row r="6" spans="1:37" ht="12.75" customHeight="1" thickTop="1" x14ac:dyDescent="0.2">
      <c r="A6" s="129" t="s">
        <v>502</v>
      </c>
      <c r="B6" s="310" t="s">
        <v>321</v>
      </c>
      <c r="C6" s="759">
        <f t="shared" ref="C6:J9" si="0">ROUND(AA6,0)</f>
        <v>0</v>
      </c>
      <c r="D6" s="760">
        <f t="shared" si="0"/>
        <v>0</v>
      </c>
      <c r="E6" s="761">
        <f t="shared" si="0"/>
        <v>0</v>
      </c>
      <c r="F6" s="762">
        <f t="shared" si="0"/>
        <v>0</v>
      </c>
      <c r="G6" s="761">
        <f t="shared" si="0"/>
        <v>0</v>
      </c>
      <c r="H6" s="762">
        <f t="shared" si="0"/>
        <v>0</v>
      </c>
      <c r="I6" s="761">
        <f t="shared" si="0"/>
        <v>0</v>
      </c>
      <c r="J6" s="762">
        <f t="shared" si="0"/>
        <v>0</v>
      </c>
      <c r="K6" s="363">
        <f t="shared" ref="K6:L9" si="1">E6+G6+I6</f>
        <v>0</v>
      </c>
      <c r="L6" s="364">
        <f t="shared" si="1"/>
        <v>0</v>
      </c>
      <c r="M6" s="741">
        <f>K6+L6</f>
        <v>0</v>
      </c>
      <c r="N6" s="825" t="s">
        <v>736</v>
      </c>
      <c r="O6" s="825"/>
      <c r="AA6" s="283">
        <v>0</v>
      </c>
      <c r="AB6" s="284">
        <v>0</v>
      </c>
      <c r="AC6" s="181">
        <v>0</v>
      </c>
      <c r="AD6" s="217">
        <v>0</v>
      </c>
      <c r="AE6" s="181">
        <v>0</v>
      </c>
      <c r="AF6" s="217">
        <v>0</v>
      </c>
      <c r="AG6" s="181">
        <v>0</v>
      </c>
      <c r="AH6" s="217">
        <v>0</v>
      </c>
      <c r="AI6" s="363">
        <f t="shared" ref="AI6:AJ9" si="2">AC6+AE6+AG6</f>
        <v>0</v>
      </c>
      <c r="AJ6" s="364">
        <f t="shared" si="2"/>
        <v>0</v>
      </c>
      <c r="AK6" s="741"/>
    </row>
    <row r="7" spans="1:37" ht="12.75" customHeight="1" x14ac:dyDescent="0.2">
      <c r="A7" s="129" t="s">
        <v>503</v>
      </c>
      <c r="B7" s="311" t="s">
        <v>322</v>
      </c>
      <c r="C7" s="759">
        <f t="shared" si="0"/>
        <v>0</v>
      </c>
      <c r="D7" s="760">
        <f t="shared" si="0"/>
        <v>0</v>
      </c>
      <c r="E7" s="761">
        <f t="shared" si="0"/>
        <v>0</v>
      </c>
      <c r="F7" s="762">
        <f t="shared" si="0"/>
        <v>0</v>
      </c>
      <c r="G7" s="761">
        <f t="shared" si="0"/>
        <v>0</v>
      </c>
      <c r="H7" s="762">
        <f t="shared" si="0"/>
        <v>0</v>
      </c>
      <c r="I7" s="761">
        <f t="shared" si="0"/>
        <v>0</v>
      </c>
      <c r="J7" s="762">
        <f t="shared" si="0"/>
        <v>0</v>
      </c>
      <c r="K7" s="363">
        <f t="shared" si="1"/>
        <v>0</v>
      </c>
      <c r="L7" s="364">
        <f t="shared" si="1"/>
        <v>0</v>
      </c>
      <c r="M7" s="741">
        <f>K7+L7</f>
        <v>0</v>
      </c>
      <c r="N7" s="825" t="s">
        <v>332</v>
      </c>
      <c r="O7" s="825"/>
      <c r="AA7" s="283">
        <v>0</v>
      </c>
      <c r="AB7" s="284">
        <v>0</v>
      </c>
      <c r="AC7" s="181">
        <v>0</v>
      </c>
      <c r="AD7" s="217">
        <v>0</v>
      </c>
      <c r="AE7" s="181">
        <v>0</v>
      </c>
      <c r="AF7" s="217">
        <v>0</v>
      </c>
      <c r="AG7" s="181">
        <v>0</v>
      </c>
      <c r="AH7" s="217">
        <v>0</v>
      </c>
      <c r="AI7" s="363">
        <f t="shared" si="2"/>
        <v>0</v>
      </c>
      <c r="AJ7" s="364">
        <f t="shared" si="2"/>
        <v>0</v>
      </c>
      <c r="AK7" s="741">
        <f>AI7+AJ7</f>
        <v>0</v>
      </c>
    </row>
    <row r="8" spans="1:37" ht="12.75" customHeight="1" x14ac:dyDescent="0.2">
      <c r="A8" s="129" t="s">
        <v>504</v>
      </c>
      <c r="B8" s="311" t="s">
        <v>323</v>
      </c>
      <c r="C8" s="759">
        <f t="shared" si="0"/>
        <v>0</v>
      </c>
      <c r="D8" s="760">
        <f t="shared" si="0"/>
        <v>0</v>
      </c>
      <c r="E8" s="761">
        <f t="shared" si="0"/>
        <v>0</v>
      </c>
      <c r="F8" s="762">
        <f t="shared" si="0"/>
        <v>0</v>
      </c>
      <c r="G8" s="761">
        <f t="shared" si="0"/>
        <v>0</v>
      </c>
      <c r="H8" s="762">
        <f t="shared" si="0"/>
        <v>0</v>
      </c>
      <c r="I8" s="761">
        <f t="shared" si="0"/>
        <v>0</v>
      </c>
      <c r="J8" s="762">
        <f t="shared" si="0"/>
        <v>0</v>
      </c>
      <c r="K8" s="363">
        <f t="shared" si="1"/>
        <v>0</v>
      </c>
      <c r="L8" s="364">
        <f t="shared" si="1"/>
        <v>0</v>
      </c>
      <c r="M8" s="741">
        <f>K8+L8</f>
        <v>0</v>
      </c>
      <c r="N8" s="825" t="s">
        <v>332</v>
      </c>
      <c r="O8" s="825"/>
      <c r="AA8" s="283">
        <v>0</v>
      </c>
      <c r="AB8" s="284">
        <v>0</v>
      </c>
      <c r="AC8" s="181">
        <v>0</v>
      </c>
      <c r="AD8" s="217">
        <v>0</v>
      </c>
      <c r="AE8" s="181">
        <v>0</v>
      </c>
      <c r="AF8" s="217">
        <v>0</v>
      </c>
      <c r="AG8" s="181">
        <v>0</v>
      </c>
      <c r="AH8" s="217">
        <v>0</v>
      </c>
      <c r="AI8" s="363">
        <f t="shared" si="2"/>
        <v>0</v>
      </c>
      <c r="AJ8" s="364">
        <f t="shared" si="2"/>
        <v>0</v>
      </c>
      <c r="AK8" s="741">
        <f>AI8+AJ8</f>
        <v>0</v>
      </c>
    </row>
    <row r="9" spans="1:37" ht="12.75" customHeight="1" x14ac:dyDescent="0.2">
      <c r="A9" s="129" t="s">
        <v>363</v>
      </c>
      <c r="B9" s="311" t="s">
        <v>454</v>
      </c>
      <c r="C9" s="759">
        <f t="shared" si="0"/>
        <v>64</v>
      </c>
      <c r="D9" s="760">
        <f t="shared" si="0"/>
        <v>46</v>
      </c>
      <c r="E9" s="761">
        <f t="shared" si="0"/>
        <v>65</v>
      </c>
      <c r="F9" s="762">
        <f t="shared" si="0"/>
        <v>47</v>
      </c>
      <c r="G9" s="761">
        <f t="shared" si="0"/>
        <v>0</v>
      </c>
      <c r="H9" s="762">
        <f t="shared" si="0"/>
        <v>0</v>
      </c>
      <c r="I9" s="761">
        <f t="shared" si="0"/>
        <v>0</v>
      </c>
      <c r="J9" s="762">
        <f t="shared" si="0"/>
        <v>0</v>
      </c>
      <c r="K9" s="363">
        <f t="shared" si="1"/>
        <v>65</v>
      </c>
      <c r="L9" s="364">
        <f t="shared" si="1"/>
        <v>47</v>
      </c>
      <c r="M9" s="741">
        <f>K9+L9</f>
        <v>112</v>
      </c>
      <c r="N9" s="825" t="s">
        <v>332</v>
      </c>
      <c r="O9" s="825"/>
      <c r="AA9" s="283">
        <v>64</v>
      </c>
      <c r="AB9" s="284">
        <v>46</v>
      </c>
      <c r="AC9" s="181">
        <v>65</v>
      </c>
      <c r="AD9" s="217">
        <v>47</v>
      </c>
      <c r="AE9" s="181">
        <v>0</v>
      </c>
      <c r="AF9" s="217">
        <v>0</v>
      </c>
      <c r="AG9" s="181">
        <v>0</v>
      </c>
      <c r="AH9" s="217">
        <v>0</v>
      </c>
      <c r="AI9" s="363">
        <f t="shared" si="2"/>
        <v>65</v>
      </c>
      <c r="AJ9" s="364">
        <f t="shared" si="2"/>
        <v>47</v>
      </c>
      <c r="AK9" s="741">
        <f>AI9+AJ9</f>
        <v>112</v>
      </c>
    </row>
    <row r="10" spans="1:37" ht="12.75" customHeight="1" x14ac:dyDescent="0.2">
      <c r="A10" s="129" t="s">
        <v>505</v>
      </c>
      <c r="B10" s="311" t="s">
        <v>506</v>
      </c>
      <c r="C10" s="759">
        <f t="shared" ref="C10:C26" si="3">ROUND(AA10,0)</f>
        <v>148</v>
      </c>
      <c r="D10" s="760">
        <f t="shared" ref="D10:D26" si="4">ROUND(AB10,0)</f>
        <v>307</v>
      </c>
      <c r="E10" s="761">
        <f t="shared" ref="E10:E26" si="5">ROUND(AC10,0)</f>
        <v>143</v>
      </c>
      <c r="F10" s="762">
        <f t="shared" ref="F10:F26" si="6">ROUND(AD10,0)</f>
        <v>255</v>
      </c>
      <c r="G10" s="761">
        <f t="shared" ref="G10:G26" si="7">ROUND(AE10,0)</f>
        <v>1</v>
      </c>
      <c r="H10" s="762">
        <f t="shared" ref="H10:H26" si="8">ROUND(AF10,0)</f>
        <v>10</v>
      </c>
      <c r="I10" s="761">
        <f t="shared" ref="I10:I26" si="9">ROUND(AG10,0)</f>
        <v>6</v>
      </c>
      <c r="J10" s="762">
        <f t="shared" ref="J10:J26" si="10">ROUND(AH10,0)</f>
        <v>45</v>
      </c>
      <c r="K10" s="363">
        <f t="shared" ref="K10:K26" si="11">E10+G10+I10</f>
        <v>150</v>
      </c>
      <c r="L10" s="364">
        <f t="shared" ref="L10:L26" si="12">F10+H10+J10</f>
        <v>310</v>
      </c>
      <c r="M10" s="741">
        <f t="shared" ref="M10:M26" si="13">K10+L10</f>
        <v>460</v>
      </c>
      <c r="N10" s="825" t="s">
        <v>332</v>
      </c>
      <c r="O10" s="825"/>
      <c r="AA10" s="283">
        <v>148</v>
      </c>
      <c r="AB10" s="284">
        <v>307</v>
      </c>
      <c r="AC10" s="181">
        <v>143</v>
      </c>
      <c r="AD10" s="217">
        <v>255</v>
      </c>
      <c r="AE10" s="181">
        <v>1</v>
      </c>
      <c r="AF10" s="217">
        <v>10</v>
      </c>
      <c r="AG10" s="181">
        <v>6</v>
      </c>
      <c r="AH10" s="217">
        <v>45</v>
      </c>
      <c r="AI10" s="363">
        <f t="shared" ref="AI10:AI26" si="14">AC10+AE10+AG10</f>
        <v>150</v>
      </c>
      <c r="AJ10" s="364">
        <f t="shared" ref="AJ10:AJ26" si="15">AD10+AF10+AH10</f>
        <v>310</v>
      </c>
      <c r="AK10" s="741">
        <f t="shared" ref="AK10:AK26" si="16">AI10+AJ10</f>
        <v>460</v>
      </c>
    </row>
    <row r="11" spans="1:37" ht="12.75" customHeight="1" x14ac:dyDescent="0.2">
      <c r="A11" s="129" t="s">
        <v>513</v>
      </c>
      <c r="B11" s="311" t="s">
        <v>514</v>
      </c>
      <c r="C11" s="759">
        <f t="shared" si="3"/>
        <v>0</v>
      </c>
      <c r="D11" s="760">
        <f t="shared" si="4"/>
        <v>0</v>
      </c>
      <c r="E11" s="761">
        <f t="shared" si="5"/>
        <v>0</v>
      </c>
      <c r="F11" s="762">
        <f t="shared" si="6"/>
        <v>0</v>
      </c>
      <c r="G11" s="761">
        <f t="shared" si="7"/>
        <v>0</v>
      </c>
      <c r="H11" s="762">
        <f t="shared" si="8"/>
        <v>0</v>
      </c>
      <c r="I11" s="761">
        <f t="shared" si="9"/>
        <v>0</v>
      </c>
      <c r="J11" s="762">
        <f t="shared" si="10"/>
        <v>0</v>
      </c>
      <c r="K11" s="363">
        <f t="shared" si="11"/>
        <v>0</v>
      </c>
      <c r="L11" s="364">
        <f t="shared" si="12"/>
        <v>0</v>
      </c>
      <c r="M11" s="741">
        <f t="shared" si="13"/>
        <v>0</v>
      </c>
      <c r="N11" s="825" t="s">
        <v>298</v>
      </c>
      <c r="O11" s="825"/>
      <c r="AA11" s="283">
        <v>0</v>
      </c>
      <c r="AB11" s="284">
        <v>0</v>
      </c>
      <c r="AC11" s="181">
        <v>0</v>
      </c>
      <c r="AD11" s="217">
        <v>0</v>
      </c>
      <c r="AE11" s="181">
        <v>0</v>
      </c>
      <c r="AF11" s="217">
        <v>0</v>
      </c>
      <c r="AG11" s="181">
        <v>0</v>
      </c>
      <c r="AH11" s="217">
        <v>0</v>
      </c>
      <c r="AI11" s="363">
        <f t="shared" si="14"/>
        <v>0</v>
      </c>
      <c r="AJ11" s="364">
        <f t="shared" si="15"/>
        <v>0</v>
      </c>
      <c r="AK11" s="741">
        <f t="shared" si="16"/>
        <v>0</v>
      </c>
    </row>
    <row r="12" spans="1:37" ht="12.75" customHeight="1" x14ac:dyDescent="0.2">
      <c r="A12" s="129" t="s">
        <v>1041</v>
      </c>
      <c r="B12" s="311" t="s">
        <v>773</v>
      </c>
      <c r="C12" s="759">
        <f t="shared" ref="C12:J18" si="17">ROUND(AA12,0)</f>
        <v>1</v>
      </c>
      <c r="D12" s="760">
        <f t="shared" si="17"/>
        <v>0</v>
      </c>
      <c r="E12" s="761">
        <f t="shared" si="17"/>
        <v>0</v>
      </c>
      <c r="F12" s="762">
        <f t="shared" si="17"/>
        <v>0</v>
      </c>
      <c r="G12" s="761">
        <f t="shared" si="17"/>
        <v>0</v>
      </c>
      <c r="H12" s="762">
        <f t="shared" si="17"/>
        <v>0</v>
      </c>
      <c r="I12" s="761">
        <f t="shared" si="17"/>
        <v>0</v>
      </c>
      <c r="J12" s="762">
        <f t="shared" si="17"/>
        <v>0</v>
      </c>
      <c r="K12" s="363">
        <f t="shared" ref="K12:L18" si="18">E12+G12+I12</f>
        <v>0</v>
      </c>
      <c r="L12" s="364">
        <f t="shared" si="18"/>
        <v>0</v>
      </c>
      <c r="M12" s="741">
        <f t="shared" ref="M12:M18" si="19">K12+L12</f>
        <v>0</v>
      </c>
      <c r="N12" s="825" t="s">
        <v>298</v>
      </c>
      <c r="O12" s="825"/>
      <c r="AA12" s="283">
        <v>1</v>
      </c>
      <c r="AB12" s="284">
        <v>0</v>
      </c>
      <c r="AC12" s="181">
        <v>0</v>
      </c>
      <c r="AD12" s="217">
        <v>0</v>
      </c>
      <c r="AE12" s="181">
        <v>0</v>
      </c>
      <c r="AF12" s="217">
        <v>0</v>
      </c>
      <c r="AG12" s="181">
        <v>0</v>
      </c>
      <c r="AH12" s="217">
        <v>0</v>
      </c>
      <c r="AI12" s="363">
        <f t="shared" ref="AI12:AJ18" si="20">AC12+AE12+AG12</f>
        <v>0</v>
      </c>
      <c r="AJ12" s="364">
        <f t="shared" si="20"/>
        <v>0</v>
      </c>
      <c r="AK12" s="741">
        <f t="shared" ref="AK12:AK18" si="21">AI12+AJ12</f>
        <v>0</v>
      </c>
    </row>
    <row r="13" spans="1:37" ht="12.75" customHeight="1" x14ac:dyDescent="0.2">
      <c r="A13" s="129" t="s">
        <v>1042</v>
      </c>
      <c r="B13" s="311" t="s">
        <v>774</v>
      </c>
      <c r="C13" s="759">
        <f t="shared" si="17"/>
        <v>4</v>
      </c>
      <c r="D13" s="760">
        <f t="shared" si="17"/>
        <v>0</v>
      </c>
      <c r="E13" s="761">
        <f t="shared" si="17"/>
        <v>5</v>
      </c>
      <c r="F13" s="762">
        <f t="shared" si="17"/>
        <v>0</v>
      </c>
      <c r="G13" s="761">
        <f t="shared" si="17"/>
        <v>0</v>
      </c>
      <c r="H13" s="762">
        <f t="shared" si="17"/>
        <v>0</v>
      </c>
      <c r="I13" s="761">
        <f t="shared" si="17"/>
        <v>0</v>
      </c>
      <c r="J13" s="762">
        <f t="shared" si="17"/>
        <v>0</v>
      </c>
      <c r="K13" s="363">
        <f t="shared" si="18"/>
        <v>5</v>
      </c>
      <c r="L13" s="364">
        <f t="shared" si="18"/>
        <v>0</v>
      </c>
      <c r="M13" s="741">
        <f t="shared" si="19"/>
        <v>5</v>
      </c>
      <c r="N13" s="825" t="s">
        <v>298</v>
      </c>
      <c r="O13" s="825"/>
      <c r="AA13" s="283">
        <v>4</v>
      </c>
      <c r="AB13" s="284">
        <v>0</v>
      </c>
      <c r="AC13" s="181">
        <v>5</v>
      </c>
      <c r="AD13" s="217">
        <v>0</v>
      </c>
      <c r="AE13" s="181">
        <v>0</v>
      </c>
      <c r="AF13" s="217">
        <v>0</v>
      </c>
      <c r="AG13" s="181">
        <v>0</v>
      </c>
      <c r="AH13" s="217">
        <v>0</v>
      </c>
      <c r="AI13" s="363">
        <f t="shared" si="20"/>
        <v>5</v>
      </c>
      <c r="AJ13" s="364">
        <f t="shared" si="20"/>
        <v>0</v>
      </c>
      <c r="AK13" s="741">
        <f t="shared" si="21"/>
        <v>5</v>
      </c>
    </row>
    <row r="14" spans="1:37" ht="12.75" customHeight="1" x14ac:dyDescent="0.2">
      <c r="A14" s="129" t="s">
        <v>383</v>
      </c>
      <c r="B14" s="312" t="s">
        <v>276</v>
      </c>
      <c r="C14" s="759">
        <f t="shared" si="17"/>
        <v>262</v>
      </c>
      <c r="D14" s="760">
        <f t="shared" si="17"/>
        <v>432</v>
      </c>
      <c r="E14" s="761">
        <f t="shared" si="17"/>
        <v>251</v>
      </c>
      <c r="F14" s="762">
        <f t="shared" si="17"/>
        <v>366</v>
      </c>
      <c r="G14" s="761">
        <f t="shared" si="17"/>
        <v>10</v>
      </c>
      <c r="H14" s="762">
        <f t="shared" si="17"/>
        <v>21</v>
      </c>
      <c r="I14" s="761">
        <f t="shared" si="17"/>
        <v>21</v>
      </c>
      <c r="J14" s="762">
        <f t="shared" si="17"/>
        <v>97</v>
      </c>
      <c r="K14" s="363">
        <f t="shared" si="18"/>
        <v>282</v>
      </c>
      <c r="L14" s="364">
        <f t="shared" si="18"/>
        <v>484</v>
      </c>
      <c r="M14" s="741">
        <f t="shared" si="19"/>
        <v>766</v>
      </c>
      <c r="N14" s="825" t="s">
        <v>298</v>
      </c>
      <c r="O14" s="825"/>
      <c r="AA14" s="283">
        <v>262</v>
      </c>
      <c r="AB14" s="284">
        <v>432</v>
      </c>
      <c r="AC14" s="181">
        <v>251</v>
      </c>
      <c r="AD14" s="217">
        <v>366</v>
      </c>
      <c r="AE14" s="181">
        <v>10</v>
      </c>
      <c r="AF14" s="217">
        <v>21</v>
      </c>
      <c r="AG14" s="181">
        <v>21</v>
      </c>
      <c r="AH14" s="217">
        <v>97</v>
      </c>
      <c r="AI14" s="363">
        <f t="shared" si="20"/>
        <v>282</v>
      </c>
      <c r="AJ14" s="364">
        <f t="shared" si="20"/>
        <v>484</v>
      </c>
      <c r="AK14" s="741">
        <f t="shared" si="21"/>
        <v>766</v>
      </c>
    </row>
    <row r="15" spans="1:37" ht="12.75" customHeight="1" x14ac:dyDescent="0.2">
      <c r="A15" s="129" t="s">
        <v>507</v>
      </c>
      <c r="B15" s="312" t="s">
        <v>508</v>
      </c>
      <c r="C15" s="759">
        <f t="shared" si="17"/>
        <v>12</v>
      </c>
      <c r="D15" s="760">
        <f t="shared" si="17"/>
        <v>15</v>
      </c>
      <c r="E15" s="761">
        <f t="shared" si="17"/>
        <v>11</v>
      </c>
      <c r="F15" s="762">
        <f t="shared" si="17"/>
        <v>9</v>
      </c>
      <c r="G15" s="761">
        <f t="shared" si="17"/>
        <v>0</v>
      </c>
      <c r="H15" s="762">
        <f t="shared" si="17"/>
        <v>0</v>
      </c>
      <c r="I15" s="761">
        <f t="shared" si="17"/>
        <v>0</v>
      </c>
      <c r="J15" s="762">
        <f t="shared" si="17"/>
        <v>5</v>
      </c>
      <c r="K15" s="363">
        <f t="shared" si="18"/>
        <v>11</v>
      </c>
      <c r="L15" s="364">
        <f t="shared" si="18"/>
        <v>14</v>
      </c>
      <c r="M15" s="741">
        <f t="shared" si="19"/>
        <v>25</v>
      </c>
      <c r="N15" s="825" t="s">
        <v>298</v>
      </c>
      <c r="O15" s="825"/>
      <c r="AA15" s="283">
        <v>12</v>
      </c>
      <c r="AB15" s="284">
        <v>15</v>
      </c>
      <c r="AC15" s="181">
        <v>11</v>
      </c>
      <c r="AD15" s="217">
        <v>9</v>
      </c>
      <c r="AE15" s="181">
        <v>0</v>
      </c>
      <c r="AF15" s="217">
        <v>0</v>
      </c>
      <c r="AG15" s="181">
        <v>0</v>
      </c>
      <c r="AH15" s="217">
        <v>5</v>
      </c>
      <c r="AI15" s="363">
        <f t="shared" si="20"/>
        <v>11</v>
      </c>
      <c r="AJ15" s="364">
        <f t="shared" si="20"/>
        <v>14</v>
      </c>
      <c r="AK15" s="741">
        <f t="shared" si="21"/>
        <v>25</v>
      </c>
    </row>
    <row r="16" spans="1:37" ht="12.75" customHeight="1" x14ac:dyDescent="0.2">
      <c r="A16" s="129" t="s">
        <v>1087</v>
      </c>
      <c r="B16" s="312" t="s">
        <v>515</v>
      </c>
      <c r="C16" s="759">
        <f t="shared" si="17"/>
        <v>15</v>
      </c>
      <c r="D16" s="760">
        <f t="shared" si="17"/>
        <v>5</v>
      </c>
      <c r="E16" s="761">
        <f t="shared" si="17"/>
        <v>14</v>
      </c>
      <c r="F16" s="762">
        <f t="shared" si="17"/>
        <v>5</v>
      </c>
      <c r="G16" s="761">
        <f t="shared" si="17"/>
        <v>0</v>
      </c>
      <c r="H16" s="762">
        <f t="shared" si="17"/>
        <v>0</v>
      </c>
      <c r="I16" s="761">
        <f t="shared" si="17"/>
        <v>0</v>
      </c>
      <c r="J16" s="762">
        <f t="shared" si="17"/>
        <v>0</v>
      </c>
      <c r="K16" s="363">
        <f t="shared" si="18"/>
        <v>14</v>
      </c>
      <c r="L16" s="364">
        <f t="shared" si="18"/>
        <v>5</v>
      </c>
      <c r="M16" s="741">
        <f t="shared" si="19"/>
        <v>19</v>
      </c>
      <c r="N16" s="825" t="s">
        <v>298</v>
      </c>
      <c r="O16" s="825"/>
      <c r="AA16" s="283">
        <v>15</v>
      </c>
      <c r="AB16" s="284">
        <v>5</v>
      </c>
      <c r="AC16" s="181">
        <v>14</v>
      </c>
      <c r="AD16" s="217">
        <v>5</v>
      </c>
      <c r="AE16" s="181">
        <v>0</v>
      </c>
      <c r="AF16" s="217">
        <v>0</v>
      </c>
      <c r="AG16" s="181">
        <v>0</v>
      </c>
      <c r="AH16" s="217">
        <v>0</v>
      </c>
      <c r="AI16" s="363">
        <f t="shared" si="20"/>
        <v>14</v>
      </c>
      <c r="AJ16" s="364">
        <f t="shared" si="20"/>
        <v>5</v>
      </c>
      <c r="AK16" s="741">
        <f t="shared" si="21"/>
        <v>19</v>
      </c>
    </row>
    <row r="17" spans="1:37" ht="12.75" customHeight="1" x14ac:dyDescent="0.2">
      <c r="A17" s="129" t="s">
        <v>1088</v>
      </c>
      <c r="B17" s="312" t="s">
        <v>516</v>
      </c>
      <c r="C17" s="759">
        <f t="shared" si="17"/>
        <v>15</v>
      </c>
      <c r="D17" s="760">
        <f t="shared" si="17"/>
        <v>6</v>
      </c>
      <c r="E17" s="761">
        <f t="shared" si="17"/>
        <v>19</v>
      </c>
      <c r="F17" s="762">
        <f t="shared" si="17"/>
        <v>8</v>
      </c>
      <c r="G17" s="761">
        <f t="shared" si="17"/>
        <v>0</v>
      </c>
      <c r="H17" s="762">
        <f t="shared" si="17"/>
        <v>0</v>
      </c>
      <c r="I17" s="761">
        <f t="shared" si="17"/>
        <v>0</v>
      </c>
      <c r="J17" s="762">
        <f t="shared" si="17"/>
        <v>0</v>
      </c>
      <c r="K17" s="363">
        <f t="shared" si="18"/>
        <v>19</v>
      </c>
      <c r="L17" s="364">
        <f t="shared" si="18"/>
        <v>8</v>
      </c>
      <c r="M17" s="741">
        <f t="shared" si="19"/>
        <v>27</v>
      </c>
      <c r="N17" s="825" t="s">
        <v>298</v>
      </c>
      <c r="O17" s="825"/>
      <c r="AA17" s="283">
        <v>15</v>
      </c>
      <c r="AB17" s="284">
        <v>6</v>
      </c>
      <c r="AC17" s="181">
        <v>19</v>
      </c>
      <c r="AD17" s="217">
        <v>8</v>
      </c>
      <c r="AE17" s="181">
        <v>0</v>
      </c>
      <c r="AF17" s="217">
        <v>0</v>
      </c>
      <c r="AG17" s="181">
        <v>0</v>
      </c>
      <c r="AH17" s="217">
        <v>0</v>
      </c>
      <c r="AI17" s="363">
        <f t="shared" si="20"/>
        <v>19</v>
      </c>
      <c r="AJ17" s="364">
        <f t="shared" si="20"/>
        <v>8</v>
      </c>
      <c r="AK17" s="741">
        <f t="shared" si="21"/>
        <v>27</v>
      </c>
    </row>
    <row r="18" spans="1:37" ht="12.75" customHeight="1" x14ac:dyDescent="0.2">
      <c r="A18" s="129" t="s">
        <v>1043</v>
      </c>
      <c r="B18" s="312" t="s">
        <v>775</v>
      </c>
      <c r="C18" s="759">
        <f t="shared" si="17"/>
        <v>12</v>
      </c>
      <c r="D18" s="760">
        <f t="shared" si="17"/>
        <v>0</v>
      </c>
      <c r="E18" s="761">
        <f t="shared" si="17"/>
        <v>11</v>
      </c>
      <c r="F18" s="762">
        <f t="shared" si="17"/>
        <v>0</v>
      </c>
      <c r="G18" s="761">
        <f t="shared" si="17"/>
        <v>0</v>
      </c>
      <c r="H18" s="762">
        <f t="shared" si="17"/>
        <v>0</v>
      </c>
      <c r="I18" s="761">
        <f t="shared" si="17"/>
        <v>0</v>
      </c>
      <c r="J18" s="762">
        <f t="shared" si="17"/>
        <v>0</v>
      </c>
      <c r="K18" s="363">
        <f t="shared" si="18"/>
        <v>11</v>
      </c>
      <c r="L18" s="364">
        <f t="shared" si="18"/>
        <v>0</v>
      </c>
      <c r="M18" s="741">
        <f t="shared" si="19"/>
        <v>11</v>
      </c>
      <c r="N18" s="825" t="s">
        <v>298</v>
      </c>
      <c r="O18" s="825"/>
      <c r="AA18" s="283">
        <v>12</v>
      </c>
      <c r="AB18" s="284">
        <v>0</v>
      </c>
      <c r="AC18" s="181">
        <v>11</v>
      </c>
      <c r="AD18" s="217">
        <v>0</v>
      </c>
      <c r="AE18" s="181">
        <v>0</v>
      </c>
      <c r="AF18" s="217">
        <v>0</v>
      </c>
      <c r="AG18" s="181">
        <v>0</v>
      </c>
      <c r="AH18" s="217">
        <v>0</v>
      </c>
      <c r="AI18" s="363">
        <f t="shared" si="20"/>
        <v>11</v>
      </c>
      <c r="AJ18" s="364">
        <f t="shared" si="20"/>
        <v>0</v>
      </c>
      <c r="AK18" s="741">
        <f t="shared" si="21"/>
        <v>11</v>
      </c>
    </row>
    <row r="19" spans="1:37" ht="12.75" customHeight="1" x14ac:dyDescent="0.2">
      <c r="A19" s="129" t="s">
        <v>1044</v>
      </c>
      <c r="B19" s="311" t="s">
        <v>776</v>
      </c>
      <c r="C19" s="759">
        <f t="shared" si="3"/>
        <v>8</v>
      </c>
      <c r="D19" s="760">
        <f t="shared" si="4"/>
        <v>0</v>
      </c>
      <c r="E19" s="761">
        <f t="shared" si="5"/>
        <v>8</v>
      </c>
      <c r="F19" s="762">
        <f t="shared" si="6"/>
        <v>0</v>
      </c>
      <c r="G19" s="761">
        <f t="shared" si="7"/>
        <v>0</v>
      </c>
      <c r="H19" s="762">
        <f t="shared" si="8"/>
        <v>0</v>
      </c>
      <c r="I19" s="761">
        <f t="shared" si="9"/>
        <v>0</v>
      </c>
      <c r="J19" s="762">
        <f t="shared" si="10"/>
        <v>0</v>
      </c>
      <c r="K19" s="363">
        <f t="shared" si="11"/>
        <v>8</v>
      </c>
      <c r="L19" s="364">
        <f t="shared" si="12"/>
        <v>0</v>
      </c>
      <c r="M19" s="741">
        <f t="shared" si="13"/>
        <v>8</v>
      </c>
      <c r="N19" s="825" t="s">
        <v>298</v>
      </c>
      <c r="O19" s="825"/>
      <c r="AA19" s="283">
        <v>8</v>
      </c>
      <c r="AB19" s="284">
        <v>0</v>
      </c>
      <c r="AC19" s="181">
        <v>8</v>
      </c>
      <c r="AD19" s="217">
        <v>0</v>
      </c>
      <c r="AE19" s="181">
        <v>0</v>
      </c>
      <c r="AF19" s="217">
        <v>0</v>
      </c>
      <c r="AG19" s="181">
        <v>0</v>
      </c>
      <c r="AH19" s="217">
        <v>0</v>
      </c>
      <c r="AI19" s="363">
        <f t="shared" si="14"/>
        <v>8</v>
      </c>
      <c r="AJ19" s="364">
        <f t="shared" si="15"/>
        <v>0</v>
      </c>
      <c r="AK19" s="741">
        <f t="shared" si="16"/>
        <v>8</v>
      </c>
    </row>
    <row r="20" spans="1:37" ht="12.75" customHeight="1" x14ac:dyDescent="0.2">
      <c r="A20" s="129" t="s">
        <v>1045</v>
      </c>
      <c r="B20" s="311" t="s">
        <v>777</v>
      </c>
      <c r="C20" s="759">
        <f t="shared" si="3"/>
        <v>33</v>
      </c>
      <c r="D20" s="760">
        <f t="shared" si="4"/>
        <v>0</v>
      </c>
      <c r="E20" s="761">
        <f t="shared" si="5"/>
        <v>31</v>
      </c>
      <c r="F20" s="762">
        <f t="shared" si="6"/>
        <v>0</v>
      </c>
      <c r="G20" s="761">
        <f t="shared" si="7"/>
        <v>0</v>
      </c>
      <c r="H20" s="762">
        <f t="shared" si="8"/>
        <v>0</v>
      </c>
      <c r="I20" s="761">
        <f t="shared" si="9"/>
        <v>0</v>
      </c>
      <c r="J20" s="762">
        <f t="shared" si="10"/>
        <v>0</v>
      </c>
      <c r="K20" s="363">
        <f t="shared" si="11"/>
        <v>31</v>
      </c>
      <c r="L20" s="364">
        <f t="shared" si="12"/>
        <v>0</v>
      </c>
      <c r="M20" s="741">
        <f t="shared" si="13"/>
        <v>31</v>
      </c>
      <c r="N20" s="825" t="s">
        <v>298</v>
      </c>
      <c r="O20" s="825"/>
      <c r="AA20" s="283">
        <v>33</v>
      </c>
      <c r="AB20" s="284">
        <v>0</v>
      </c>
      <c r="AC20" s="181">
        <v>31</v>
      </c>
      <c r="AD20" s="217">
        <v>0</v>
      </c>
      <c r="AE20" s="181">
        <v>0</v>
      </c>
      <c r="AF20" s="217">
        <v>0</v>
      </c>
      <c r="AG20" s="181">
        <v>0</v>
      </c>
      <c r="AH20" s="217">
        <v>0</v>
      </c>
      <c r="AI20" s="363">
        <f t="shared" si="14"/>
        <v>31</v>
      </c>
      <c r="AJ20" s="364">
        <f t="shared" si="15"/>
        <v>0</v>
      </c>
      <c r="AK20" s="741">
        <f t="shared" si="16"/>
        <v>31</v>
      </c>
    </row>
    <row r="21" spans="1:37" ht="12.75" customHeight="1" x14ac:dyDescent="0.2">
      <c r="A21" s="129" t="s">
        <v>384</v>
      </c>
      <c r="B21" s="311" t="s">
        <v>277</v>
      </c>
      <c r="C21" s="759">
        <f t="shared" si="3"/>
        <v>8</v>
      </c>
      <c r="D21" s="760">
        <f t="shared" si="4"/>
        <v>3</v>
      </c>
      <c r="E21" s="761">
        <f t="shared" si="5"/>
        <v>10</v>
      </c>
      <c r="F21" s="762">
        <f t="shared" si="6"/>
        <v>3</v>
      </c>
      <c r="G21" s="761">
        <f t="shared" si="7"/>
        <v>0</v>
      </c>
      <c r="H21" s="762">
        <f t="shared" si="8"/>
        <v>0</v>
      </c>
      <c r="I21" s="761">
        <f t="shared" si="9"/>
        <v>0</v>
      </c>
      <c r="J21" s="762">
        <f t="shared" si="10"/>
        <v>0</v>
      </c>
      <c r="K21" s="363">
        <f t="shared" si="11"/>
        <v>10</v>
      </c>
      <c r="L21" s="364">
        <f t="shared" si="12"/>
        <v>3</v>
      </c>
      <c r="M21" s="741">
        <f t="shared" si="13"/>
        <v>13</v>
      </c>
      <c r="N21" s="825" t="s">
        <v>298</v>
      </c>
      <c r="O21" s="825"/>
      <c r="AA21" s="283">
        <v>8</v>
      </c>
      <c r="AB21" s="284">
        <v>3</v>
      </c>
      <c r="AC21" s="181">
        <v>10</v>
      </c>
      <c r="AD21" s="217">
        <v>3</v>
      </c>
      <c r="AE21" s="181">
        <v>0</v>
      </c>
      <c r="AF21" s="217">
        <v>0</v>
      </c>
      <c r="AG21" s="181">
        <v>0</v>
      </c>
      <c r="AH21" s="217">
        <v>0</v>
      </c>
      <c r="AI21" s="363">
        <f t="shared" si="14"/>
        <v>10</v>
      </c>
      <c r="AJ21" s="364">
        <f t="shared" si="15"/>
        <v>3</v>
      </c>
      <c r="AK21" s="741">
        <f t="shared" si="16"/>
        <v>13</v>
      </c>
    </row>
    <row r="22" spans="1:37" ht="12.75" customHeight="1" x14ac:dyDescent="0.2">
      <c r="A22" s="129" t="s">
        <v>778</v>
      </c>
      <c r="B22" s="311" t="s">
        <v>779</v>
      </c>
      <c r="C22" s="759">
        <f t="shared" si="3"/>
        <v>0</v>
      </c>
      <c r="D22" s="760">
        <f t="shared" si="4"/>
        <v>5</v>
      </c>
      <c r="E22" s="761">
        <f t="shared" si="5"/>
        <v>0</v>
      </c>
      <c r="F22" s="762">
        <f t="shared" si="6"/>
        <v>4</v>
      </c>
      <c r="G22" s="761">
        <f t="shared" si="7"/>
        <v>0</v>
      </c>
      <c r="H22" s="762">
        <f t="shared" si="8"/>
        <v>0</v>
      </c>
      <c r="I22" s="761">
        <f t="shared" si="9"/>
        <v>0</v>
      </c>
      <c r="J22" s="762">
        <f t="shared" si="10"/>
        <v>1</v>
      </c>
      <c r="K22" s="363">
        <f t="shared" si="11"/>
        <v>0</v>
      </c>
      <c r="L22" s="364">
        <f t="shared" si="12"/>
        <v>5</v>
      </c>
      <c r="M22" s="741">
        <f t="shared" si="13"/>
        <v>5</v>
      </c>
      <c r="N22" s="825" t="s">
        <v>298</v>
      </c>
      <c r="O22" s="825"/>
      <c r="AA22" s="283">
        <v>0</v>
      </c>
      <c r="AB22" s="284">
        <v>5</v>
      </c>
      <c r="AC22" s="181">
        <v>0</v>
      </c>
      <c r="AD22" s="217">
        <v>4</v>
      </c>
      <c r="AE22" s="181">
        <v>0</v>
      </c>
      <c r="AF22" s="217">
        <v>0</v>
      </c>
      <c r="AG22" s="181">
        <v>0</v>
      </c>
      <c r="AH22" s="217">
        <v>1</v>
      </c>
      <c r="AI22" s="363">
        <f t="shared" si="14"/>
        <v>0</v>
      </c>
      <c r="AJ22" s="364">
        <f t="shared" si="15"/>
        <v>5</v>
      </c>
      <c r="AK22" s="741">
        <f t="shared" si="16"/>
        <v>5</v>
      </c>
    </row>
    <row r="23" spans="1:37" ht="12.75" customHeight="1" x14ac:dyDescent="0.2">
      <c r="A23" s="129" t="s">
        <v>385</v>
      </c>
      <c r="B23" s="311" t="s">
        <v>278</v>
      </c>
      <c r="C23" s="759">
        <f t="shared" si="3"/>
        <v>194</v>
      </c>
      <c r="D23" s="760">
        <f t="shared" si="4"/>
        <v>379</v>
      </c>
      <c r="E23" s="761">
        <f t="shared" si="5"/>
        <v>166</v>
      </c>
      <c r="F23" s="762">
        <f t="shared" si="6"/>
        <v>232</v>
      </c>
      <c r="G23" s="761">
        <f t="shared" si="7"/>
        <v>4</v>
      </c>
      <c r="H23" s="762">
        <f t="shared" si="8"/>
        <v>10</v>
      </c>
      <c r="I23" s="761">
        <f t="shared" si="9"/>
        <v>4</v>
      </c>
      <c r="J23" s="762">
        <f t="shared" si="10"/>
        <v>100</v>
      </c>
      <c r="K23" s="363">
        <f t="shared" si="11"/>
        <v>174</v>
      </c>
      <c r="L23" s="364">
        <f t="shared" si="12"/>
        <v>342</v>
      </c>
      <c r="M23" s="741">
        <f t="shared" si="13"/>
        <v>516</v>
      </c>
      <c r="N23" s="825" t="s">
        <v>298</v>
      </c>
      <c r="O23" s="825"/>
      <c r="AA23" s="283">
        <v>194</v>
      </c>
      <c r="AB23" s="284">
        <v>379</v>
      </c>
      <c r="AC23" s="181">
        <v>166</v>
      </c>
      <c r="AD23" s="217">
        <v>232</v>
      </c>
      <c r="AE23" s="181">
        <v>4</v>
      </c>
      <c r="AF23" s="217">
        <v>10</v>
      </c>
      <c r="AG23" s="181">
        <v>4</v>
      </c>
      <c r="AH23" s="217">
        <v>100</v>
      </c>
      <c r="AI23" s="363">
        <f t="shared" si="14"/>
        <v>174</v>
      </c>
      <c r="AJ23" s="364">
        <f t="shared" si="15"/>
        <v>342</v>
      </c>
      <c r="AK23" s="741">
        <f t="shared" si="16"/>
        <v>516</v>
      </c>
    </row>
    <row r="24" spans="1:37" ht="12.75" customHeight="1" x14ac:dyDescent="0.2">
      <c r="A24" s="129" t="s">
        <v>509</v>
      </c>
      <c r="B24" s="311" t="s">
        <v>510</v>
      </c>
      <c r="C24" s="759">
        <f t="shared" si="3"/>
        <v>24</v>
      </c>
      <c r="D24" s="760">
        <f t="shared" si="4"/>
        <v>4</v>
      </c>
      <c r="E24" s="761">
        <f t="shared" si="5"/>
        <v>19</v>
      </c>
      <c r="F24" s="762">
        <f t="shared" si="6"/>
        <v>2</v>
      </c>
      <c r="G24" s="761">
        <f t="shared" si="7"/>
        <v>0</v>
      </c>
      <c r="H24" s="762">
        <f t="shared" si="8"/>
        <v>0</v>
      </c>
      <c r="I24" s="761">
        <f t="shared" si="9"/>
        <v>2</v>
      </c>
      <c r="J24" s="762">
        <f t="shared" si="10"/>
        <v>0</v>
      </c>
      <c r="K24" s="363">
        <f t="shared" si="11"/>
        <v>21</v>
      </c>
      <c r="L24" s="364">
        <f t="shared" si="12"/>
        <v>2</v>
      </c>
      <c r="M24" s="741">
        <f t="shared" si="13"/>
        <v>23</v>
      </c>
      <c r="N24" s="825" t="s">
        <v>298</v>
      </c>
      <c r="O24" s="825"/>
      <c r="AA24" s="283">
        <v>24</v>
      </c>
      <c r="AB24" s="284">
        <v>4</v>
      </c>
      <c r="AC24" s="181">
        <v>19</v>
      </c>
      <c r="AD24" s="217">
        <v>2</v>
      </c>
      <c r="AE24" s="181">
        <v>0</v>
      </c>
      <c r="AF24" s="217">
        <v>0</v>
      </c>
      <c r="AG24" s="181">
        <v>2</v>
      </c>
      <c r="AH24" s="217">
        <v>0</v>
      </c>
      <c r="AI24" s="363">
        <f t="shared" si="14"/>
        <v>21</v>
      </c>
      <c r="AJ24" s="364">
        <f t="shared" si="15"/>
        <v>2</v>
      </c>
      <c r="AK24" s="741">
        <f t="shared" si="16"/>
        <v>23</v>
      </c>
    </row>
    <row r="25" spans="1:37" ht="12.75" customHeight="1" x14ac:dyDescent="0.2">
      <c r="A25" s="129" t="s">
        <v>1046</v>
      </c>
      <c r="B25" s="311" t="s">
        <v>517</v>
      </c>
      <c r="C25" s="759">
        <f t="shared" si="3"/>
        <v>33</v>
      </c>
      <c r="D25" s="763">
        <f t="shared" si="4"/>
        <v>14</v>
      </c>
      <c r="E25" s="761">
        <f t="shared" si="5"/>
        <v>29</v>
      </c>
      <c r="F25" s="762">
        <f t="shared" si="6"/>
        <v>12</v>
      </c>
      <c r="G25" s="761">
        <f t="shared" si="7"/>
        <v>0</v>
      </c>
      <c r="H25" s="762">
        <f t="shared" si="8"/>
        <v>0</v>
      </c>
      <c r="I25" s="761">
        <f t="shared" si="9"/>
        <v>0</v>
      </c>
      <c r="J25" s="764">
        <f t="shared" si="10"/>
        <v>0</v>
      </c>
      <c r="K25" s="363">
        <f t="shared" si="11"/>
        <v>29</v>
      </c>
      <c r="L25" s="364">
        <f t="shared" si="12"/>
        <v>12</v>
      </c>
      <c r="M25" s="741">
        <f t="shared" si="13"/>
        <v>41</v>
      </c>
      <c r="N25" s="825" t="s">
        <v>298</v>
      </c>
      <c r="O25" s="825"/>
      <c r="AA25" s="283">
        <v>33</v>
      </c>
      <c r="AB25" s="285">
        <v>14</v>
      </c>
      <c r="AC25" s="181">
        <v>29</v>
      </c>
      <c r="AD25" s="217">
        <v>12</v>
      </c>
      <c r="AE25" s="181">
        <v>0</v>
      </c>
      <c r="AF25" s="217">
        <v>0</v>
      </c>
      <c r="AG25" s="181">
        <v>0</v>
      </c>
      <c r="AH25" s="220">
        <v>0</v>
      </c>
      <c r="AI25" s="363">
        <f t="shared" si="14"/>
        <v>29</v>
      </c>
      <c r="AJ25" s="364">
        <f t="shared" si="15"/>
        <v>12</v>
      </c>
      <c r="AK25" s="741">
        <f t="shared" si="16"/>
        <v>41</v>
      </c>
    </row>
    <row r="26" spans="1:37" ht="12.75" customHeight="1" x14ac:dyDescent="0.2">
      <c r="A26" s="129" t="s">
        <v>1047</v>
      </c>
      <c r="B26" s="311" t="s">
        <v>518</v>
      </c>
      <c r="C26" s="759">
        <f t="shared" si="3"/>
        <v>7</v>
      </c>
      <c r="D26" s="760">
        <f t="shared" si="4"/>
        <v>4</v>
      </c>
      <c r="E26" s="761">
        <f t="shared" si="5"/>
        <v>14</v>
      </c>
      <c r="F26" s="762">
        <f t="shared" si="6"/>
        <v>10</v>
      </c>
      <c r="G26" s="761">
        <f t="shared" si="7"/>
        <v>0</v>
      </c>
      <c r="H26" s="762">
        <f t="shared" si="8"/>
        <v>0</v>
      </c>
      <c r="I26" s="761">
        <f t="shared" si="9"/>
        <v>0</v>
      </c>
      <c r="J26" s="762">
        <f t="shared" si="10"/>
        <v>0</v>
      </c>
      <c r="K26" s="363">
        <f t="shared" si="11"/>
        <v>14</v>
      </c>
      <c r="L26" s="364">
        <f t="shared" si="12"/>
        <v>10</v>
      </c>
      <c r="M26" s="741">
        <f t="shared" si="13"/>
        <v>24</v>
      </c>
      <c r="N26" s="825" t="s">
        <v>298</v>
      </c>
      <c r="O26" s="825"/>
      <c r="AA26" s="283">
        <v>7</v>
      </c>
      <c r="AB26" s="284">
        <v>4</v>
      </c>
      <c r="AC26" s="181">
        <v>14</v>
      </c>
      <c r="AD26" s="217">
        <v>10</v>
      </c>
      <c r="AE26" s="181">
        <v>0</v>
      </c>
      <c r="AF26" s="217">
        <v>0</v>
      </c>
      <c r="AG26" s="181">
        <v>0</v>
      </c>
      <c r="AH26" s="217">
        <v>0</v>
      </c>
      <c r="AI26" s="363">
        <f t="shared" si="14"/>
        <v>14</v>
      </c>
      <c r="AJ26" s="364">
        <f t="shared" si="15"/>
        <v>10</v>
      </c>
      <c r="AK26" s="741">
        <f t="shared" si="16"/>
        <v>24</v>
      </c>
    </row>
    <row r="27" spans="1:37" ht="12.75" customHeight="1" x14ac:dyDescent="0.2">
      <c r="A27" s="129" t="s">
        <v>519</v>
      </c>
      <c r="B27" s="312" t="s">
        <v>520</v>
      </c>
      <c r="C27" s="759">
        <f t="shared" ref="C27:C33" si="22">ROUND(AA27,0)</f>
        <v>0</v>
      </c>
      <c r="D27" s="760">
        <f t="shared" ref="D27:D33" si="23">ROUND(AB27,0)</f>
        <v>0</v>
      </c>
      <c r="E27" s="761">
        <f t="shared" ref="E27:E33" si="24">ROUND(AC27,0)</f>
        <v>0</v>
      </c>
      <c r="F27" s="762">
        <f t="shared" ref="F27:F33" si="25">ROUND(AD27,0)</f>
        <v>0</v>
      </c>
      <c r="G27" s="761">
        <f t="shared" ref="G27:G33" si="26">ROUND(AE27,0)</f>
        <v>0</v>
      </c>
      <c r="H27" s="762">
        <f t="shared" ref="H27:H33" si="27">ROUND(AF27,0)</f>
        <v>0</v>
      </c>
      <c r="I27" s="761">
        <f t="shared" ref="I27:I33" si="28">ROUND(AG27,0)</f>
        <v>0</v>
      </c>
      <c r="J27" s="762">
        <f t="shared" ref="J27:J33" si="29">ROUND(AH27,0)</f>
        <v>0</v>
      </c>
      <c r="K27" s="363">
        <f t="shared" ref="K27:K33" si="30">E27+G27+I27</f>
        <v>0</v>
      </c>
      <c r="L27" s="364">
        <f t="shared" ref="L27:L33" si="31">F27+H27+J27</f>
        <v>0</v>
      </c>
      <c r="M27" s="741">
        <f t="shared" ref="M27:M33" si="32">K27+L27</f>
        <v>0</v>
      </c>
      <c r="N27" s="825" t="s">
        <v>298</v>
      </c>
      <c r="O27" s="825"/>
      <c r="AA27" s="283">
        <v>0</v>
      </c>
      <c r="AB27" s="284">
        <v>0</v>
      </c>
      <c r="AC27" s="181">
        <v>0</v>
      </c>
      <c r="AD27" s="217">
        <v>0</v>
      </c>
      <c r="AE27" s="181">
        <v>0</v>
      </c>
      <c r="AF27" s="217">
        <v>0</v>
      </c>
      <c r="AG27" s="181">
        <v>0</v>
      </c>
      <c r="AH27" s="217">
        <v>0</v>
      </c>
      <c r="AI27" s="363">
        <f t="shared" ref="AI27:AI33" si="33">AC27+AE27+AG27</f>
        <v>0</v>
      </c>
      <c r="AJ27" s="364">
        <f t="shared" ref="AJ27:AJ33" si="34">AD27+AF27+AH27</f>
        <v>0</v>
      </c>
      <c r="AK27" s="741">
        <f t="shared" ref="AK27:AK33" si="35">AI27+AJ27</f>
        <v>0</v>
      </c>
    </row>
    <row r="28" spans="1:37" ht="12.75" customHeight="1" x14ac:dyDescent="0.2">
      <c r="A28" s="129" t="s">
        <v>914</v>
      </c>
      <c r="B28" s="312" t="s">
        <v>780</v>
      </c>
      <c r="C28" s="759">
        <f t="shared" si="22"/>
        <v>92</v>
      </c>
      <c r="D28" s="760">
        <f t="shared" si="23"/>
        <v>0</v>
      </c>
      <c r="E28" s="761">
        <f>ROUND(AC28,0)</f>
        <v>99</v>
      </c>
      <c r="F28" s="762">
        <f t="shared" si="25"/>
        <v>0</v>
      </c>
      <c r="G28" s="761">
        <f t="shared" si="26"/>
        <v>0</v>
      </c>
      <c r="H28" s="762">
        <f t="shared" si="27"/>
        <v>0</v>
      </c>
      <c r="I28" s="761">
        <f t="shared" si="28"/>
        <v>0</v>
      </c>
      <c r="J28" s="762">
        <f t="shared" si="29"/>
        <v>0</v>
      </c>
      <c r="K28" s="363">
        <f t="shared" si="30"/>
        <v>99</v>
      </c>
      <c r="L28" s="364">
        <f t="shared" si="31"/>
        <v>0</v>
      </c>
      <c r="M28" s="741">
        <f t="shared" si="32"/>
        <v>99</v>
      </c>
      <c r="N28" s="825" t="s">
        <v>298</v>
      </c>
      <c r="O28" s="825"/>
      <c r="AA28" s="283">
        <v>92</v>
      </c>
      <c r="AB28" s="284">
        <v>0</v>
      </c>
      <c r="AC28" s="181">
        <v>99</v>
      </c>
      <c r="AD28" s="217">
        <v>0</v>
      </c>
      <c r="AE28" s="181">
        <v>0</v>
      </c>
      <c r="AF28" s="217">
        <v>0</v>
      </c>
      <c r="AG28" s="181">
        <v>0</v>
      </c>
      <c r="AH28" s="217">
        <v>0</v>
      </c>
      <c r="AI28" s="363">
        <f>AC28+AE28+AG28</f>
        <v>99</v>
      </c>
      <c r="AJ28" s="364">
        <f t="shared" si="34"/>
        <v>0</v>
      </c>
      <c r="AK28" s="741">
        <f t="shared" si="35"/>
        <v>99</v>
      </c>
    </row>
    <row r="29" spans="1:37" ht="12.75" customHeight="1" x14ac:dyDescent="0.2">
      <c r="A29" s="129" t="s">
        <v>915</v>
      </c>
      <c r="B29" s="312" t="s">
        <v>781</v>
      </c>
      <c r="C29" s="759">
        <f t="shared" si="22"/>
        <v>25</v>
      </c>
      <c r="D29" s="760">
        <f t="shared" si="23"/>
        <v>0</v>
      </c>
      <c r="E29" s="761">
        <f>ROUND(AC29,0)</f>
        <v>19</v>
      </c>
      <c r="F29" s="762">
        <f t="shared" si="25"/>
        <v>0</v>
      </c>
      <c r="G29" s="761">
        <f t="shared" si="26"/>
        <v>0</v>
      </c>
      <c r="H29" s="762">
        <f t="shared" si="27"/>
        <v>0</v>
      </c>
      <c r="I29" s="761">
        <f t="shared" si="28"/>
        <v>0</v>
      </c>
      <c r="J29" s="762">
        <f t="shared" si="29"/>
        <v>0</v>
      </c>
      <c r="K29" s="363">
        <f t="shared" si="30"/>
        <v>19</v>
      </c>
      <c r="L29" s="364">
        <f t="shared" si="31"/>
        <v>0</v>
      </c>
      <c r="M29" s="741">
        <f t="shared" si="32"/>
        <v>19</v>
      </c>
      <c r="N29" s="825" t="s">
        <v>298</v>
      </c>
      <c r="O29" s="825"/>
      <c r="AA29" s="283">
        <v>25</v>
      </c>
      <c r="AB29" s="284">
        <v>0</v>
      </c>
      <c r="AC29" s="181">
        <v>19</v>
      </c>
      <c r="AD29" s="217">
        <v>0</v>
      </c>
      <c r="AE29" s="181">
        <v>0</v>
      </c>
      <c r="AF29" s="217">
        <v>0</v>
      </c>
      <c r="AG29" s="181">
        <v>0</v>
      </c>
      <c r="AH29" s="217">
        <v>0</v>
      </c>
      <c r="AI29" s="363">
        <f>AC29+AE29+AG29</f>
        <v>19</v>
      </c>
      <c r="AJ29" s="364">
        <f t="shared" si="34"/>
        <v>0</v>
      </c>
      <c r="AK29" s="741">
        <f t="shared" si="35"/>
        <v>19</v>
      </c>
    </row>
    <row r="30" spans="1:37" ht="12.75" customHeight="1" x14ac:dyDescent="0.2">
      <c r="A30" s="129" t="s">
        <v>511</v>
      </c>
      <c r="B30" s="312" t="s">
        <v>512</v>
      </c>
      <c r="C30" s="759">
        <f t="shared" si="22"/>
        <v>29</v>
      </c>
      <c r="D30" s="760">
        <f t="shared" si="23"/>
        <v>169</v>
      </c>
      <c r="E30" s="761">
        <f t="shared" si="24"/>
        <v>40</v>
      </c>
      <c r="F30" s="762">
        <f t="shared" si="25"/>
        <v>160</v>
      </c>
      <c r="G30" s="761">
        <f t="shared" si="26"/>
        <v>0</v>
      </c>
      <c r="H30" s="762">
        <f t="shared" si="27"/>
        <v>0</v>
      </c>
      <c r="I30" s="761">
        <f t="shared" si="28"/>
        <v>0</v>
      </c>
      <c r="J30" s="762">
        <f t="shared" si="29"/>
        <v>20</v>
      </c>
      <c r="K30" s="363">
        <f t="shared" si="30"/>
        <v>40</v>
      </c>
      <c r="L30" s="364">
        <f t="shared" si="31"/>
        <v>180</v>
      </c>
      <c r="M30" s="741">
        <f t="shared" si="32"/>
        <v>220</v>
      </c>
      <c r="N30" s="825" t="s">
        <v>298</v>
      </c>
      <c r="O30" s="825"/>
      <c r="AA30" s="283">
        <v>29</v>
      </c>
      <c r="AB30" s="284">
        <v>169</v>
      </c>
      <c r="AC30" s="181">
        <v>40</v>
      </c>
      <c r="AD30" s="217">
        <v>160</v>
      </c>
      <c r="AE30" s="181">
        <v>0</v>
      </c>
      <c r="AF30" s="217">
        <v>0</v>
      </c>
      <c r="AG30" s="181">
        <v>0</v>
      </c>
      <c r="AH30" s="217">
        <v>20</v>
      </c>
      <c r="AI30" s="363">
        <f t="shared" si="33"/>
        <v>40</v>
      </c>
      <c r="AJ30" s="364">
        <f t="shared" si="34"/>
        <v>180</v>
      </c>
      <c r="AK30" s="741">
        <f t="shared" si="35"/>
        <v>220</v>
      </c>
    </row>
    <row r="31" spans="1:37" ht="12.75" customHeight="1" x14ac:dyDescent="0.2">
      <c r="A31" s="129" t="s">
        <v>644</v>
      </c>
      <c r="B31" s="312" t="s">
        <v>279</v>
      </c>
      <c r="C31" s="759">
        <f t="shared" si="22"/>
        <v>96</v>
      </c>
      <c r="D31" s="760">
        <f t="shared" si="23"/>
        <v>37</v>
      </c>
      <c r="E31" s="761">
        <f t="shared" si="24"/>
        <v>91</v>
      </c>
      <c r="F31" s="762">
        <f t="shared" si="25"/>
        <v>24</v>
      </c>
      <c r="G31" s="761">
        <f t="shared" si="26"/>
        <v>1</v>
      </c>
      <c r="H31" s="762">
        <f t="shared" si="27"/>
        <v>1</v>
      </c>
      <c r="I31" s="761">
        <f t="shared" si="28"/>
        <v>5</v>
      </c>
      <c r="J31" s="762">
        <f t="shared" si="29"/>
        <v>6</v>
      </c>
      <c r="K31" s="363">
        <f t="shared" si="30"/>
        <v>97</v>
      </c>
      <c r="L31" s="364">
        <f t="shared" si="31"/>
        <v>31</v>
      </c>
      <c r="M31" s="741">
        <f t="shared" si="32"/>
        <v>128</v>
      </c>
      <c r="N31" s="825" t="s">
        <v>298</v>
      </c>
      <c r="O31" s="825"/>
      <c r="AA31" s="283">
        <v>96</v>
      </c>
      <c r="AB31" s="284">
        <v>37</v>
      </c>
      <c r="AC31" s="181">
        <f>2+89</f>
        <v>91</v>
      </c>
      <c r="AD31" s="217">
        <v>24</v>
      </c>
      <c r="AE31" s="181">
        <v>1</v>
      </c>
      <c r="AF31" s="217">
        <v>1</v>
      </c>
      <c r="AG31" s="181">
        <f>1+4</f>
        <v>5</v>
      </c>
      <c r="AH31" s="217">
        <v>6</v>
      </c>
      <c r="AI31" s="363">
        <f t="shared" si="33"/>
        <v>97</v>
      </c>
      <c r="AJ31" s="364">
        <f t="shared" si="34"/>
        <v>31</v>
      </c>
      <c r="AK31" s="741">
        <f t="shared" si="35"/>
        <v>128</v>
      </c>
    </row>
    <row r="32" spans="1:37" ht="12.75" customHeight="1" x14ac:dyDescent="0.2">
      <c r="A32" s="129" t="s">
        <v>968</v>
      </c>
      <c r="B32" s="312" t="s">
        <v>969</v>
      </c>
      <c r="C32" s="759">
        <f t="shared" si="22"/>
        <v>0</v>
      </c>
      <c r="D32" s="760">
        <f t="shared" si="23"/>
        <v>0</v>
      </c>
      <c r="E32" s="761">
        <f t="shared" si="24"/>
        <v>0</v>
      </c>
      <c r="F32" s="762">
        <f t="shared" si="25"/>
        <v>0</v>
      </c>
      <c r="G32" s="761">
        <f t="shared" si="26"/>
        <v>0</v>
      </c>
      <c r="H32" s="762">
        <f t="shared" si="27"/>
        <v>0</v>
      </c>
      <c r="I32" s="761">
        <f t="shared" si="28"/>
        <v>0</v>
      </c>
      <c r="J32" s="762">
        <f t="shared" si="29"/>
        <v>0</v>
      </c>
      <c r="K32" s="363">
        <f t="shared" si="30"/>
        <v>0</v>
      </c>
      <c r="L32" s="364">
        <f t="shared" si="31"/>
        <v>0</v>
      </c>
      <c r="M32" s="741">
        <f t="shared" si="32"/>
        <v>0</v>
      </c>
      <c r="N32" s="825" t="s">
        <v>736</v>
      </c>
      <c r="O32" s="825"/>
      <c r="AA32" s="283">
        <v>0</v>
      </c>
      <c r="AB32" s="284">
        <v>0</v>
      </c>
      <c r="AC32" s="181">
        <v>0</v>
      </c>
      <c r="AD32" s="217">
        <v>0</v>
      </c>
      <c r="AE32" s="181">
        <v>0</v>
      </c>
      <c r="AF32" s="217">
        <v>0</v>
      </c>
      <c r="AG32" s="181">
        <v>0</v>
      </c>
      <c r="AH32" s="217">
        <v>0</v>
      </c>
      <c r="AI32" s="363">
        <f t="shared" si="33"/>
        <v>0</v>
      </c>
      <c r="AJ32" s="364">
        <f t="shared" si="34"/>
        <v>0</v>
      </c>
      <c r="AK32" s="741">
        <f t="shared" si="35"/>
        <v>0</v>
      </c>
    </row>
    <row r="33" spans="1:37" ht="12.75" customHeight="1" thickBot="1" x14ac:dyDescent="0.25">
      <c r="A33" s="129" t="s">
        <v>645</v>
      </c>
      <c r="B33" s="312" t="s">
        <v>320</v>
      </c>
      <c r="C33" s="759">
        <f t="shared" si="22"/>
        <v>5</v>
      </c>
      <c r="D33" s="760">
        <f t="shared" si="23"/>
        <v>5</v>
      </c>
      <c r="E33" s="761">
        <f t="shared" si="24"/>
        <v>5</v>
      </c>
      <c r="F33" s="762">
        <f t="shared" si="25"/>
        <v>6</v>
      </c>
      <c r="G33" s="761">
        <f t="shared" si="26"/>
        <v>0</v>
      </c>
      <c r="H33" s="762">
        <f t="shared" si="27"/>
        <v>0</v>
      </c>
      <c r="I33" s="761">
        <f t="shared" si="28"/>
        <v>0</v>
      </c>
      <c r="J33" s="762">
        <f t="shared" si="29"/>
        <v>0</v>
      </c>
      <c r="K33" s="363">
        <f t="shared" si="30"/>
        <v>5</v>
      </c>
      <c r="L33" s="364">
        <f t="shared" si="31"/>
        <v>6</v>
      </c>
      <c r="M33" s="741">
        <f t="shared" si="32"/>
        <v>11</v>
      </c>
      <c r="N33" s="825" t="s">
        <v>736</v>
      </c>
      <c r="O33" s="825"/>
      <c r="AA33" s="283">
        <v>5</v>
      </c>
      <c r="AB33" s="284">
        <v>5</v>
      </c>
      <c r="AC33" s="181">
        <v>5</v>
      </c>
      <c r="AD33" s="217">
        <v>6</v>
      </c>
      <c r="AE33" s="181">
        <v>0</v>
      </c>
      <c r="AF33" s="217">
        <v>0</v>
      </c>
      <c r="AG33" s="181">
        <v>0</v>
      </c>
      <c r="AH33" s="217">
        <v>0</v>
      </c>
      <c r="AI33" s="363">
        <f t="shared" si="33"/>
        <v>5</v>
      </c>
      <c r="AJ33" s="364">
        <f t="shared" si="34"/>
        <v>6</v>
      </c>
      <c r="AK33" s="741">
        <f t="shared" si="35"/>
        <v>11</v>
      </c>
    </row>
    <row r="34" spans="1:37" ht="15.75" customHeight="1" thickTop="1" thickBot="1" x14ac:dyDescent="0.25">
      <c r="A34" s="255" t="s">
        <v>71</v>
      </c>
      <c r="B34" s="10"/>
      <c r="C34" s="365">
        <f t="shared" ref="C34:L34" si="36">SUM(C6:C33)</f>
        <v>1087</v>
      </c>
      <c r="D34" s="366">
        <f t="shared" si="36"/>
        <v>1431</v>
      </c>
      <c r="E34" s="365">
        <f t="shared" si="36"/>
        <v>1050</v>
      </c>
      <c r="F34" s="366">
        <f t="shared" si="36"/>
        <v>1143</v>
      </c>
      <c r="G34" s="365">
        <f t="shared" si="36"/>
        <v>16</v>
      </c>
      <c r="H34" s="366">
        <f t="shared" si="36"/>
        <v>42</v>
      </c>
      <c r="I34" s="365">
        <f t="shared" si="36"/>
        <v>38</v>
      </c>
      <c r="J34" s="366">
        <f t="shared" si="36"/>
        <v>274</v>
      </c>
      <c r="K34" s="365">
        <f t="shared" si="36"/>
        <v>1104</v>
      </c>
      <c r="L34" s="367">
        <f t="shared" si="36"/>
        <v>1459</v>
      </c>
      <c r="M34" s="741"/>
      <c r="AA34" s="365">
        <f t="shared" ref="AA34:AJ34" si="37">SUM(AA6:AA33)</f>
        <v>1087</v>
      </c>
      <c r="AB34" s="366">
        <f t="shared" si="37"/>
        <v>1431</v>
      </c>
      <c r="AC34" s="365">
        <f t="shared" si="37"/>
        <v>1050</v>
      </c>
      <c r="AD34" s="366">
        <f t="shared" si="37"/>
        <v>1143</v>
      </c>
      <c r="AE34" s="365">
        <f t="shared" si="37"/>
        <v>16</v>
      </c>
      <c r="AF34" s="366">
        <f t="shared" si="37"/>
        <v>42</v>
      </c>
      <c r="AG34" s="365">
        <f t="shared" si="37"/>
        <v>38</v>
      </c>
      <c r="AH34" s="366">
        <f t="shared" si="37"/>
        <v>274</v>
      </c>
      <c r="AI34" s="365">
        <f t="shared" si="37"/>
        <v>1104</v>
      </c>
      <c r="AJ34" s="367">
        <f t="shared" si="37"/>
        <v>1459</v>
      </c>
      <c r="AK34" s="741"/>
    </row>
    <row r="35" spans="1:37" ht="18.75" customHeight="1" x14ac:dyDescent="0.2">
      <c r="A35" s="17" t="s">
        <v>176</v>
      </c>
    </row>
    <row r="36" spans="1:37" x14ac:dyDescent="0.2">
      <c r="A36" s="17" t="s">
        <v>501</v>
      </c>
    </row>
    <row r="37" spans="1:37" x14ac:dyDescent="0.2">
      <c r="A37" s="299" t="str">
        <f>"(*) inserire i dati comunicati nella tab.1 (colonna presenti al 31/12/"&amp;L1-1&amp;") della rilevazione dell'anno precedente"</f>
        <v>(*) inserire i dati comunicati nella tab.1 (colonna presenti al 31/12/2023) della rilevazione dell'anno precedente</v>
      </c>
    </row>
    <row r="38" spans="1:37" x14ac:dyDescent="0.2">
      <c r="A38" s="3" t="s">
        <v>149</v>
      </c>
    </row>
  </sheetData>
  <sheetProtection algorithmName="SHA-512" hashValue="ZpudJgRXzC9SaP48Esam64lMRQpGbncCKPcWH4HKsDoGOzdDFsEZqrXbwSfR6JNlUoFr10Hcxb2XX8GJkbm42g==" saltValue="J6xOr6YnCW5hpmHATW60bg==" spinCount="100000" sheet="1" formatColumns="0" selectLockedCells="1"/>
  <mergeCells count="5">
    <mergeCell ref="AE2:AJ2"/>
    <mergeCell ref="AA3:AJ3"/>
    <mergeCell ref="C3:L3"/>
    <mergeCell ref="B4:B5"/>
    <mergeCell ref="G2:L2"/>
  </mergeCells>
  <phoneticPr fontId="30" type="noConversion"/>
  <conditionalFormatting sqref="A6:L33 AA6:AJ33">
    <cfRule type="expression" dxfId="30" priority="3" stopIfTrue="1">
      <formula>$M6&gt;0</formula>
    </cfRule>
  </conditionalFormatting>
  <printOptions horizontalCentered="1" verticalCentered="1"/>
  <pageMargins left="0" right="0" top="0.15748031496062992" bottom="0.15748031496062992" header="0.19685039370078741" footer="0.19685039370078741"/>
  <pageSetup paperSize="9" scale="85" orientation="landscape" horizontalDpi="300" verticalDpi="4294967292"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43">
    <pageSetUpPr fitToPage="1"/>
  </sheetPr>
  <dimension ref="A1:AQ29"/>
  <sheetViews>
    <sheetView showGridLines="0" zoomScaleNormal="100" workbookViewId="0">
      <selection activeCell="AE23" sqref="AE23"/>
    </sheetView>
  </sheetViews>
  <sheetFormatPr defaultColWidth="9.33203125" defaultRowHeight="11.25" x14ac:dyDescent="0.2"/>
  <cols>
    <col min="1" max="1" width="33" style="3" customWidth="1"/>
    <col min="2" max="2" width="13.33203125" style="2" hidden="1" customWidth="1"/>
    <col min="3" max="8" width="11.1640625" style="3" hidden="1" customWidth="1"/>
    <col min="9" max="16" width="10.6640625" style="3" hidden="1" customWidth="1"/>
    <col min="17" max="26" width="9.33203125" style="3" hidden="1" customWidth="1"/>
    <col min="27" max="32" width="9.33203125" style="3" customWidth="1"/>
    <col min="33" max="36" width="11.1640625" style="3" customWidth="1"/>
    <col min="37" max="37" width="11.1640625" style="3" hidden="1" customWidth="1"/>
    <col min="38" max="38" width="11.1640625" style="3" customWidth="1"/>
    <col min="39" max="46" width="10.6640625" style="3" customWidth="1"/>
    <col min="47" max="47" width="9.33203125" style="3" customWidth="1"/>
    <col min="48" max="16384" width="9.33203125" style="3"/>
  </cols>
  <sheetData>
    <row r="1" spans="1:43" ht="43.5" customHeight="1" x14ac:dyDescent="0.2">
      <c r="A1" s="765" t="str">
        <f>'t1'!A1</f>
        <v>REGIONE VALLE D'AOSTA - anno 2024</v>
      </c>
      <c r="B1" s="765"/>
      <c r="C1" s="765"/>
      <c r="D1" s="765"/>
      <c r="E1" s="765"/>
      <c r="F1" s="765"/>
      <c r="G1" s="765"/>
      <c r="H1" s="765"/>
      <c r="I1" s="765"/>
      <c r="J1" s="765"/>
      <c r="L1" s="605"/>
      <c r="M1"/>
      <c r="AK1" s="1219" t="s">
        <v>607</v>
      </c>
      <c r="AP1" s="605"/>
      <c r="AQ1"/>
    </row>
    <row r="2" spans="1:43" ht="30" customHeight="1" thickBot="1" x14ac:dyDescent="0.25">
      <c r="A2" s="5"/>
      <c r="G2" s="1220"/>
      <c r="H2" s="1220"/>
      <c r="I2" s="1220"/>
      <c r="J2" s="1220"/>
      <c r="AK2" s="1221" t="s">
        <v>608</v>
      </c>
    </row>
    <row r="3" spans="1:43" ht="24.75" customHeight="1" thickBot="1" x14ac:dyDescent="0.25">
      <c r="A3" s="7"/>
      <c r="B3" s="8"/>
      <c r="C3" s="1222" t="s">
        <v>245</v>
      </c>
      <c r="D3" s="9"/>
      <c r="E3" s="9"/>
      <c r="F3" s="9"/>
      <c r="G3" s="1223"/>
      <c r="H3" s="1223"/>
      <c r="I3" s="1223"/>
      <c r="J3" s="1223"/>
      <c r="Y3" s="1222" t="s">
        <v>245</v>
      </c>
      <c r="Z3" s="9"/>
      <c r="AA3" s="9"/>
      <c r="AB3" s="9"/>
      <c r="AC3" s="9"/>
      <c r="AD3" s="9"/>
      <c r="AE3" s="9"/>
      <c r="AF3" s="9"/>
      <c r="AG3" s="9"/>
      <c r="AH3" s="103"/>
      <c r="AK3" s="1326">
        <v>2</v>
      </c>
    </row>
    <row r="4" spans="1:43" ht="52.5" customHeight="1" thickTop="1" x14ac:dyDescent="0.2">
      <c r="A4" s="1224" t="s">
        <v>100</v>
      </c>
      <c r="B4" s="1225" t="s">
        <v>68</v>
      </c>
      <c r="C4" s="109" t="s">
        <v>129</v>
      </c>
      <c r="D4" s="1226"/>
      <c r="E4" s="109" t="s">
        <v>130</v>
      </c>
      <c r="F4" s="1226"/>
      <c r="G4" s="109" t="s">
        <v>56</v>
      </c>
      <c r="H4" s="1226"/>
      <c r="I4" s="109" t="s">
        <v>770</v>
      </c>
      <c r="J4" s="1226"/>
      <c r="AA4" s="109" t="s">
        <v>129</v>
      </c>
      <c r="AB4" s="1226"/>
      <c r="AC4" s="109" t="s">
        <v>130</v>
      </c>
      <c r="AD4" s="1226"/>
      <c r="AE4" s="109" t="s">
        <v>56</v>
      </c>
      <c r="AF4" s="1226"/>
      <c r="AG4" s="109" t="s">
        <v>770</v>
      </c>
      <c r="AH4" s="1227"/>
    </row>
    <row r="5" spans="1:43" ht="20.25" customHeight="1" thickBot="1" x14ac:dyDescent="0.25">
      <c r="A5" s="1228"/>
      <c r="B5" s="1229"/>
      <c r="C5" s="1230" t="s">
        <v>69</v>
      </c>
      <c r="D5" s="1231" t="s">
        <v>70</v>
      </c>
      <c r="E5" s="1230" t="s">
        <v>69</v>
      </c>
      <c r="F5" s="1231" t="s">
        <v>70</v>
      </c>
      <c r="G5" s="1230" t="s">
        <v>69</v>
      </c>
      <c r="H5" s="1231" t="s">
        <v>70</v>
      </c>
      <c r="I5" s="1230" t="s">
        <v>69</v>
      </c>
      <c r="J5" s="1231" t="s">
        <v>70</v>
      </c>
      <c r="AA5" s="1230" t="s">
        <v>69</v>
      </c>
      <c r="AB5" s="1231" t="s">
        <v>70</v>
      </c>
      <c r="AC5" s="1230" t="s">
        <v>69</v>
      </c>
      <c r="AD5" s="1231" t="s">
        <v>70</v>
      </c>
      <c r="AE5" s="1230" t="s">
        <v>69</v>
      </c>
      <c r="AF5" s="1231" t="s">
        <v>70</v>
      </c>
      <c r="AG5" s="1230" t="s">
        <v>69</v>
      </c>
      <c r="AH5" s="1232" t="s">
        <v>70</v>
      </c>
    </row>
    <row r="6" spans="1:43" ht="20.25" customHeight="1" thickTop="1" x14ac:dyDescent="0.2">
      <c r="A6" s="1233" t="s">
        <v>280</v>
      </c>
      <c r="B6" s="1234" t="s">
        <v>281</v>
      </c>
      <c r="C6" s="1235">
        <f t="shared" ref="C6:J10" si="0">ROUND(AA6,2)</f>
        <v>5.16</v>
      </c>
      <c r="D6" s="1236">
        <f t="shared" si="0"/>
        <v>21.5</v>
      </c>
      <c r="E6" s="1235">
        <f t="shared" si="0"/>
        <v>0</v>
      </c>
      <c r="F6" s="1236">
        <f t="shared" si="0"/>
        <v>0</v>
      </c>
      <c r="G6" s="1235">
        <f t="shared" si="0"/>
        <v>0</v>
      </c>
      <c r="H6" s="1236">
        <f t="shared" si="0"/>
        <v>0</v>
      </c>
      <c r="I6" s="1235">
        <f t="shared" si="0"/>
        <v>0</v>
      </c>
      <c r="J6" s="1236">
        <f t="shared" si="0"/>
        <v>0</v>
      </c>
      <c r="AA6" s="1235">
        <v>5.16</v>
      </c>
      <c r="AB6" s="1236">
        <v>21.5</v>
      </c>
      <c r="AC6" s="1235"/>
      <c r="AD6" s="1236"/>
      <c r="AE6" s="1235"/>
      <c r="AF6" s="1236"/>
      <c r="AG6" s="1235"/>
      <c r="AH6" s="1237"/>
    </row>
    <row r="7" spans="1:43" ht="20.25" customHeight="1" x14ac:dyDescent="0.2">
      <c r="A7" s="1233" t="s">
        <v>282</v>
      </c>
      <c r="B7" s="1238" t="s">
        <v>283</v>
      </c>
      <c r="C7" s="1239">
        <f t="shared" si="0"/>
        <v>15.41</v>
      </c>
      <c r="D7" s="1240">
        <f t="shared" si="0"/>
        <v>23.66</v>
      </c>
      <c r="E7" s="1239">
        <f t="shared" si="0"/>
        <v>0</v>
      </c>
      <c r="F7" s="1240">
        <f t="shared" si="0"/>
        <v>0</v>
      </c>
      <c r="G7" s="1239">
        <f t="shared" si="0"/>
        <v>0</v>
      </c>
      <c r="H7" s="1240">
        <f t="shared" si="0"/>
        <v>0</v>
      </c>
      <c r="I7" s="1239">
        <f t="shared" si="0"/>
        <v>0</v>
      </c>
      <c r="J7" s="1240">
        <f t="shared" si="0"/>
        <v>0</v>
      </c>
      <c r="AA7" s="1239">
        <v>15.41</v>
      </c>
      <c r="AB7" s="1240">
        <v>23.66</v>
      </c>
      <c r="AC7" s="1239"/>
      <c r="AD7" s="1240"/>
      <c r="AE7" s="1239"/>
      <c r="AF7" s="1240"/>
      <c r="AG7" s="1239"/>
      <c r="AH7" s="1241"/>
    </row>
    <row r="8" spans="1:43" ht="20.25" customHeight="1" x14ac:dyDescent="0.2">
      <c r="A8" s="1233" t="s">
        <v>284</v>
      </c>
      <c r="B8" s="1238" t="s">
        <v>285</v>
      </c>
      <c r="C8" s="1242">
        <f t="shared" si="0"/>
        <v>8.15</v>
      </c>
      <c r="D8" s="1236">
        <f t="shared" si="0"/>
        <v>6.33</v>
      </c>
      <c r="E8" s="1242">
        <f t="shared" si="0"/>
        <v>0</v>
      </c>
      <c r="F8" s="1236">
        <f t="shared" si="0"/>
        <v>0</v>
      </c>
      <c r="G8" s="1242">
        <f t="shared" si="0"/>
        <v>0</v>
      </c>
      <c r="H8" s="1236">
        <f t="shared" si="0"/>
        <v>0</v>
      </c>
      <c r="I8" s="1242">
        <f t="shared" si="0"/>
        <v>0</v>
      </c>
      <c r="J8" s="1236">
        <f t="shared" si="0"/>
        <v>0</v>
      </c>
      <c r="AA8" s="1242">
        <v>8.15</v>
      </c>
      <c r="AB8" s="1236">
        <v>6.33</v>
      </c>
      <c r="AC8" s="1242"/>
      <c r="AD8" s="1236"/>
      <c r="AE8" s="1242"/>
      <c r="AF8" s="1236"/>
      <c r="AG8" s="1242"/>
      <c r="AH8" s="1237"/>
    </row>
    <row r="9" spans="1:43" ht="20.25" customHeight="1" x14ac:dyDescent="0.2">
      <c r="A9" s="1233" t="s">
        <v>324</v>
      </c>
      <c r="B9" s="1238" t="s">
        <v>325</v>
      </c>
      <c r="C9" s="1243">
        <f t="shared" si="0"/>
        <v>0</v>
      </c>
      <c r="D9" s="1240">
        <f t="shared" si="0"/>
        <v>0</v>
      </c>
      <c r="E9" s="1243">
        <f t="shared" si="0"/>
        <v>0</v>
      </c>
      <c r="F9" s="1240">
        <f t="shared" si="0"/>
        <v>0</v>
      </c>
      <c r="G9" s="1243">
        <f t="shared" si="0"/>
        <v>0</v>
      </c>
      <c r="H9" s="1240">
        <f t="shared" si="0"/>
        <v>0</v>
      </c>
      <c r="I9" s="1243">
        <f t="shared" si="0"/>
        <v>0</v>
      </c>
      <c r="J9" s="1240">
        <f t="shared" si="0"/>
        <v>0</v>
      </c>
      <c r="AA9" s="1243"/>
      <c r="AB9" s="1240"/>
      <c r="AC9" s="1243"/>
      <c r="AD9" s="1240"/>
      <c r="AE9" s="1243"/>
      <c r="AF9" s="1240"/>
      <c r="AG9" s="1243"/>
      <c r="AH9" s="1241"/>
    </row>
    <row r="10" spans="1:43" ht="20.25" customHeight="1" thickBot="1" x14ac:dyDescent="0.25">
      <c r="A10" s="1233" t="s">
        <v>286</v>
      </c>
      <c r="B10" s="1244" t="s">
        <v>287</v>
      </c>
      <c r="C10" s="1243">
        <f t="shared" si="0"/>
        <v>171.67</v>
      </c>
      <c r="D10" s="1240">
        <f t="shared" si="0"/>
        <v>18.690000000000001</v>
      </c>
      <c r="E10" s="1243">
        <f t="shared" si="0"/>
        <v>0</v>
      </c>
      <c r="F10" s="1240">
        <f t="shared" si="0"/>
        <v>0</v>
      </c>
      <c r="G10" s="1243">
        <f t="shared" si="0"/>
        <v>0</v>
      </c>
      <c r="H10" s="1240">
        <f t="shared" si="0"/>
        <v>0</v>
      </c>
      <c r="I10" s="1243">
        <f t="shared" si="0"/>
        <v>0</v>
      </c>
      <c r="J10" s="1240">
        <f t="shared" si="0"/>
        <v>0</v>
      </c>
      <c r="AA10" s="1243">
        <f>11.33+160.34</f>
        <v>171.67</v>
      </c>
      <c r="AB10" s="1240">
        <f>1.48+17.21</f>
        <v>18.690000000000001</v>
      </c>
      <c r="AC10" s="1243"/>
      <c r="AD10" s="1240"/>
      <c r="AE10" s="1243"/>
      <c r="AF10" s="1240"/>
      <c r="AG10" s="1243"/>
      <c r="AH10" s="1241"/>
    </row>
    <row r="11" spans="1:43" ht="33" customHeight="1" thickTop="1" thickBot="1" x14ac:dyDescent="0.25">
      <c r="A11" s="12" t="s">
        <v>71</v>
      </c>
      <c r="B11" s="10"/>
      <c r="C11" s="1245">
        <f t="shared" ref="C11:J11" si="1">SUM(C6:C10)</f>
        <v>200.39</v>
      </c>
      <c r="D11" s="1246">
        <f t="shared" si="1"/>
        <v>70.180000000000007</v>
      </c>
      <c r="E11" s="1245">
        <f t="shared" si="1"/>
        <v>0</v>
      </c>
      <c r="F11" s="1246">
        <f t="shared" si="1"/>
        <v>0</v>
      </c>
      <c r="G11" s="1245">
        <f t="shared" si="1"/>
        <v>0</v>
      </c>
      <c r="H11" s="1246">
        <f t="shared" si="1"/>
        <v>0</v>
      </c>
      <c r="I11" s="1245">
        <f t="shared" si="1"/>
        <v>0</v>
      </c>
      <c r="J11" s="1246">
        <f t="shared" si="1"/>
        <v>0</v>
      </c>
      <c r="AA11" s="1245">
        <f t="shared" ref="AA11:AH11" si="2">SUM(AA6:AA10)</f>
        <v>200.39</v>
      </c>
      <c r="AB11" s="1246">
        <f t="shared" si="2"/>
        <v>70.180000000000007</v>
      </c>
      <c r="AC11" s="1245">
        <f t="shared" si="2"/>
        <v>0</v>
      </c>
      <c r="AD11" s="1246">
        <f t="shared" si="2"/>
        <v>0</v>
      </c>
      <c r="AE11" s="1245">
        <f t="shared" si="2"/>
        <v>0</v>
      </c>
      <c r="AF11" s="1246">
        <f t="shared" si="2"/>
        <v>0</v>
      </c>
      <c r="AG11" s="1245">
        <f t="shared" si="2"/>
        <v>0</v>
      </c>
      <c r="AH11" s="1247">
        <f t="shared" si="2"/>
        <v>0</v>
      </c>
    </row>
    <row r="12" spans="1:43" ht="8.25" customHeight="1" x14ac:dyDescent="0.2">
      <c r="A12" s="6"/>
    </row>
    <row r="13" spans="1:43" ht="12.75" x14ac:dyDescent="0.2">
      <c r="A13" s="1248"/>
    </row>
    <row r="14" spans="1:43" ht="14.25" x14ac:dyDescent="0.2">
      <c r="A14" s="1467" t="s">
        <v>980</v>
      </c>
      <c r="B14" s="1467"/>
      <c r="C14" s="1467"/>
      <c r="D14" s="1467"/>
      <c r="E14" s="1467"/>
      <c r="F14" s="1467"/>
      <c r="G14" s="1467"/>
      <c r="H14" s="1467"/>
      <c r="I14" s="1467"/>
      <c r="J14" s="1467"/>
      <c r="K14" s="1467"/>
      <c r="L14" s="1467"/>
      <c r="M14" s="1467"/>
      <c r="N14" s="1467"/>
      <c r="O14" s="1467"/>
      <c r="P14" s="1467"/>
      <c r="Q14" s="1467"/>
      <c r="R14" s="1467"/>
      <c r="S14" s="1467"/>
      <c r="T14" s="1467"/>
      <c r="U14" s="1467"/>
      <c r="V14" s="1467"/>
      <c r="W14" s="1467"/>
      <c r="X14" s="1467"/>
      <c r="Y14" s="1467"/>
      <c r="Z14" s="1467"/>
      <c r="AA14" s="1467"/>
      <c r="AB14" s="1467"/>
      <c r="AC14" s="1467"/>
    </row>
    <row r="15" spans="1:43" ht="14.25" x14ac:dyDescent="0.2">
      <c r="A15" s="1249"/>
      <c r="B15" s="1249"/>
      <c r="C15" s="1249"/>
      <c r="D15" s="1249"/>
      <c r="E15" s="1249"/>
      <c r="F15" s="1249"/>
      <c r="G15" s="1249"/>
      <c r="H15" s="1249"/>
      <c r="I15" s="1249"/>
      <c r="J15" s="1249"/>
      <c r="K15" s="1249"/>
      <c r="L15" s="1249"/>
      <c r="M15" s="1249"/>
      <c r="N15" s="1249"/>
      <c r="O15" s="1249"/>
      <c r="P15" s="1249"/>
      <c r="Q15" s="1249"/>
      <c r="R15" s="1249"/>
      <c r="S15" s="1249"/>
      <c r="T15" s="1249"/>
      <c r="U15" s="1249"/>
      <c r="V15" s="1249"/>
      <c r="W15" s="1249"/>
      <c r="X15" s="1249"/>
      <c r="Y15" s="1249"/>
      <c r="Z15" s="1249"/>
      <c r="AA15" s="1249"/>
      <c r="AB15" s="1249"/>
      <c r="AC15" s="1249"/>
    </row>
    <row r="16" spans="1:43" x14ac:dyDescent="0.2">
      <c r="AA16"/>
    </row>
    <row r="17" spans="1:36" ht="30" customHeight="1" thickBot="1" x14ac:dyDescent="0.25">
      <c r="A17" s="5"/>
      <c r="C17" s="1250"/>
      <c r="D17" s="1250"/>
      <c r="E17" s="1250"/>
      <c r="F17" s="1250"/>
      <c r="G17" s="1468"/>
      <c r="H17" s="1468"/>
      <c r="I17" s="1468"/>
      <c r="J17" s="1468"/>
      <c r="K17" s="1468"/>
      <c r="L17" s="1468"/>
    </row>
    <row r="18" spans="1:36" ht="24.75" customHeight="1" thickBot="1" x14ac:dyDescent="0.25">
      <c r="A18" s="7"/>
      <c r="B18" s="8"/>
      <c r="D18" s="1251"/>
      <c r="E18" s="1251"/>
      <c r="F18" s="1251"/>
      <c r="G18" s="1251"/>
      <c r="H18" s="1251"/>
      <c r="I18" s="232"/>
      <c r="J18" s="232"/>
      <c r="K18" s="232"/>
      <c r="L18" s="233"/>
      <c r="AA18" s="232"/>
      <c r="AB18" s="232"/>
      <c r="AC18" s="232"/>
      <c r="AD18" s="232"/>
      <c r="AE18" s="232"/>
      <c r="AF18" s="232"/>
      <c r="AG18" s="232"/>
      <c r="AH18" s="232"/>
      <c r="AI18" s="232"/>
      <c r="AJ18" s="233"/>
    </row>
    <row r="19" spans="1:36" ht="52.5" customHeight="1" thickTop="1" x14ac:dyDescent="0.2">
      <c r="A19" s="1224" t="s">
        <v>100</v>
      </c>
      <c r="B19" s="1225" t="s">
        <v>68</v>
      </c>
      <c r="C19" s="1464" t="s">
        <v>981</v>
      </c>
      <c r="D19" s="1465"/>
      <c r="E19" s="1464" t="s">
        <v>982</v>
      </c>
      <c r="F19" s="1465"/>
      <c r="G19" s="1464" t="s">
        <v>983</v>
      </c>
      <c r="H19" s="1465"/>
      <c r="I19" s="1464" t="s">
        <v>0</v>
      </c>
      <c r="J19" s="1465"/>
      <c r="K19" s="1464" t="s">
        <v>1</v>
      </c>
      <c r="L19" s="1466"/>
      <c r="AA19" s="1464" t="s">
        <v>984</v>
      </c>
      <c r="AB19" s="1465"/>
      <c r="AC19" s="1464" t="s">
        <v>985</v>
      </c>
      <c r="AD19" s="1465"/>
      <c r="AE19" s="1464" t="s">
        <v>986</v>
      </c>
      <c r="AF19" s="1465"/>
      <c r="AG19" s="1464" t="s">
        <v>987</v>
      </c>
      <c r="AH19" s="1465"/>
      <c r="AI19" s="1464" t="s">
        <v>988</v>
      </c>
      <c r="AJ19" s="1466"/>
    </row>
    <row r="20" spans="1:36" ht="20.25" customHeight="1" thickBot="1" x14ac:dyDescent="0.25">
      <c r="A20" s="1228"/>
      <c r="B20" s="1229"/>
      <c r="C20" s="1230" t="s">
        <v>69</v>
      </c>
      <c r="D20" s="1232" t="s">
        <v>70</v>
      </c>
      <c r="E20" s="1230" t="s">
        <v>69</v>
      </c>
      <c r="F20" s="1232" t="s">
        <v>70</v>
      </c>
      <c r="G20" s="1230" t="s">
        <v>69</v>
      </c>
      <c r="H20" s="1232" t="s">
        <v>70</v>
      </c>
      <c r="I20" s="1230" t="s">
        <v>69</v>
      </c>
      <c r="J20" s="1232" t="s">
        <v>70</v>
      </c>
      <c r="K20" s="1230" t="s">
        <v>69</v>
      </c>
      <c r="L20" s="1232" t="s">
        <v>70</v>
      </c>
      <c r="AA20" s="1230" t="s">
        <v>69</v>
      </c>
      <c r="AB20" s="1232" t="s">
        <v>70</v>
      </c>
      <c r="AC20" s="1230" t="s">
        <v>69</v>
      </c>
      <c r="AD20" s="1232" t="s">
        <v>70</v>
      </c>
      <c r="AE20" s="1230" t="s">
        <v>69</v>
      </c>
      <c r="AF20" s="1232" t="s">
        <v>70</v>
      </c>
      <c r="AG20" s="1230" t="s">
        <v>69</v>
      </c>
      <c r="AH20" s="1232" t="s">
        <v>70</v>
      </c>
      <c r="AI20" s="1230" t="s">
        <v>69</v>
      </c>
      <c r="AJ20" s="1232" t="s">
        <v>70</v>
      </c>
    </row>
    <row r="21" spans="1:36" ht="20.25" customHeight="1" thickTop="1" x14ac:dyDescent="0.2">
      <c r="A21" s="1233" t="s">
        <v>280</v>
      </c>
      <c r="B21" s="1234" t="s">
        <v>281</v>
      </c>
      <c r="C21" s="1252">
        <f t="shared" ref="C21:L25" si="3">ROUND(AA21,0)</f>
        <v>31</v>
      </c>
      <c r="D21" s="1253">
        <f t="shared" si="3"/>
        <v>79</v>
      </c>
      <c r="E21" s="1252">
        <f t="shared" si="3"/>
        <v>4</v>
      </c>
      <c r="F21" s="1253">
        <f t="shared" si="3"/>
        <v>15</v>
      </c>
      <c r="G21" s="1252">
        <f t="shared" si="3"/>
        <v>0</v>
      </c>
      <c r="H21" s="1253">
        <f t="shared" si="3"/>
        <v>0</v>
      </c>
      <c r="I21" s="1252">
        <f t="shared" si="3"/>
        <v>0</v>
      </c>
      <c r="J21" s="1253">
        <f t="shared" si="3"/>
        <v>0</v>
      </c>
      <c r="K21" s="1252">
        <f t="shared" si="3"/>
        <v>0</v>
      </c>
      <c r="L21" s="1253">
        <f t="shared" si="3"/>
        <v>0</v>
      </c>
      <c r="AA21" s="1254">
        <v>31</v>
      </c>
      <c r="AB21" s="1255">
        <v>79</v>
      </c>
      <c r="AC21" s="1254">
        <v>4</v>
      </c>
      <c r="AD21" s="1255">
        <v>15</v>
      </c>
      <c r="AE21" s="1254"/>
      <c r="AF21" s="1255"/>
      <c r="AG21" s="1254"/>
      <c r="AH21" s="1255"/>
      <c r="AI21" s="1254"/>
      <c r="AJ21" s="1255"/>
    </row>
    <row r="22" spans="1:36" ht="20.25" customHeight="1" x14ac:dyDescent="0.2">
      <c r="A22" s="1233" t="s">
        <v>282</v>
      </c>
      <c r="B22" s="1238" t="s">
        <v>283</v>
      </c>
      <c r="C22" s="1256">
        <f t="shared" si="3"/>
        <v>45</v>
      </c>
      <c r="D22" s="1257">
        <f t="shared" si="3"/>
        <v>109</v>
      </c>
      <c r="E22" s="1256">
        <f t="shared" si="3"/>
        <v>3</v>
      </c>
      <c r="F22" s="1257">
        <f t="shared" si="3"/>
        <v>19</v>
      </c>
      <c r="G22" s="1256">
        <f t="shared" si="3"/>
        <v>0</v>
      </c>
      <c r="H22" s="1257">
        <f t="shared" si="3"/>
        <v>0</v>
      </c>
      <c r="I22" s="1256">
        <f t="shared" si="3"/>
        <v>35</v>
      </c>
      <c r="J22" s="1257">
        <f t="shared" si="3"/>
        <v>34</v>
      </c>
      <c r="K22" s="1256">
        <f t="shared" si="3"/>
        <v>49</v>
      </c>
      <c r="L22" s="1257">
        <f t="shared" si="3"/>
        <v>15</v>
      </c>
      <c r="AA22" s="1258">
        <v>45</v>
      </c>
      <c r="AB22" s="1259">
        <v>109</v>
      </c>
      <c r="AC22" s="1258">
        <v>3</v>
      </c>
      <c r="AD22" s="1259">
        <v>19</v>
      </c>
      <c r="AE22" s="1258"/>
      <c r="AF22" s="1259"/>
      <c r="AG22" s="1258">
        <v>35</v>
      </c>
      <c r="AH22" s="1259">
        <v>34</v>
      </c>
      <c r="AI22" s="1258">
        <v>49</v>
      </c>
      <c r="AJ22" s="1259">
        <v>15</v>
      </c>
    </row>
    <row r="23" spans="1:36" ht="20.25" customHeight="1" x14ac:dyDescent="0.2">
      <c r="A23" s="1233" t="s">
        <v>284</v>
      </c>
      <c r="B23" s="1238" t="s">
        <v>285</v>
      </c>
      <c r="C23" s="1260">
        <f t="shared" si="3"/>
        <v>6</v>
      </c>
      <c r="D23" s="1253">
        <f t="shared" si="3"/>
        <v>69</v>
      </c>
      <c r="E23" s="1260">
        <f t="shared" si="3"/>
        <v>4</v>
      </c>
      <c r="F23" s="1253">
        <f t="shared" si="3"/>
        <v>16</v>
      </c>
      <c r="G23" s="1260">
        <f t="shared" si="3"/>
        <v>0</v>
      </c>
      <c r="H23" s="1253">
        <f t="shared" si="3"/>
        <v>0</v>
      </c>
      <c r="I23" s="1260">
        <f t="shared" si="3"/>
        <v>9</v>
      </c>
      <c r="J23" s="1253">
        <f t="shared" si="3"/>
        <v>18</v>
      </c>
      <c r="K23" s="1260">
        <f t="shared" si="3"/>
        <v>53</v>
      </c>
      <c r="L23" s="1253">
        <f t="shared" si="3"/>
        <v>22</v>
      </c>
      <c r="AA23" s="1261">
        <v>6</v>
      </c>
      <c r="AB23" s="1255">
        <v>69</v>
      </c>
      <c r="AC23" s="1261">
        <v>4</v>
      </c>
      <c r="AD23" s="1255">
        <v>16</v>
      </c>
      <c r="AE23" s="1261"/>
      <c r="AF23" s="1255"/>
      <c r="AG23" s="1261">
        <v>9</v>
      </c>
      <c r="AH23" s="1255">
        <v>18</v>
      </c>
      <c r="AI23" s="1261">
        <v>53</v>
      </c>
      <c r="AJ23" s="1255">
        <v>22</v>
      </c>
    </row>
    <row r="24" spans="1:36" ht="20.25" customHeight="1" x14ac:dyDescent="0.2">
      <c r="A24" s="1233" t="s">
        <v>324</v>
      </c>
      <c r="B24" s="1238" t="s">
        <v>325</v>
      </c>
      <c r="C24" s="1262">
        <f t="shared" si="3"/>
        <v>0</v>
      </c>
      <c r="D24" s="1257">
        <f t="shared" si="3"/>
        <v>0</v>
      </c>
      <c r="E24" s="1262">
        <f t="shared" si="3"/>
        <v>0</v>
      </c>
      <c r="F24" s="1257">
        <f t="shared" si="3"/>
        <v>0</v>
      </c>
      <c r="G24" s="1262">
        <f t="shared" si="3"/>
        <v>0</v>
      </c>
      <c r="H24" s="1257">
        <f t="shared" si="3"/>
        <v>0</v>
      </c>
      <c r="I24" s="1262">
        <f t="shared" si="3"/>
        <v>13</v>
      </c>
      <c r="J24" s="1257">
        <f t="shared" si="3"/>
        <v>62</v>
      </c>
      <c r="K24" s="1262">
        <f t="shared" si="3"/>
        <v>0</v>
      </c>
      <c r="L24" s="1257">
        <f t="shared" si="3"/>
        <v>0</v>
      </c>
      <c r="AA24" s="1263"/>
      <c r="AB24" s="1259"/>
      <c r="AC24" s="1263"/>
      <c r="AD24" s="1259"/>
      <c r="AE24" s="1263"/>
      <c r="AF24" s="1259"/>
      <c r="AG24" s="1263">
        <v>13</v>
      </c>
      <c r="AH24" s="1259">
        <v>62</v>
      </c>
      <c r="AI24" s="1263"/>
      <c r="AJ24" s="1259"/>
    </row>
    <row r="25" spans="1:36" ht="20.25" customHeight="1" thickBot="1" x14ac:dyDescent="0.25">
      <c r="A25" s="1233" t="s">
        <v>286</v>
      </c>
      <c r="B25" s="1244" t="s">
        <v>287</v>
      </c>
      <c r="C25" s="1262">
        <f t="shared" si="3"/>
        <v>0</v>
      </c>
      <c r="D25" s="1257">
        <f t="shared" si="3"/>
        <v>0</v>
      </c>
      <c r="E25" s="1262">
        <f t="shared" si="3"/>
        <v>0</v>
      </c>
      <c r="F25" s="1257">
        <f t="shared" si="3"/>
        <v>0</v>
      </c>
      <c r="G25" s="1262">
        <f t="shared" si="3"/>
        <v>0</v>
      </c>
      <c r="H25" s="1257">
        <f t="shared" si="3"/>
        <v>0</v>
      </c>
      <c r="I25" s="1262">
        <f t="shared" si="3"/>
        <v>0</v>
      </c>
      <c r="J25" s="1257">
        <f t="shared" si="3"/>
        <v>0</v>
      </c>
      <c r="K25" s="1262">
        <f t="shared" si="3"/>
        <v>0</v>
      </c>
      <c r="L25" s="1257">
        <f t="shared" si="3"/>
        <v>0</v>
      </c>
      <c r="AA25" s="1263">
        <v>0</v>
      </c>
      <c r="AB25" s="1259">
        <v>0</v>
      </c>
      <c r="AC25" s="1263">
        <v>0</v>
      </c>
      <c r="AD25" s="1259">
        <v>0</v>
      </c>
      <c r="AE25" s="1263"/>
      <c r="AF25" s="1259">
        <v>0</v>
      </c>
      <c r="AG25" s="1263">
        <v>0</v>
      </c>
      <c r="AH25" s="1259">
        <v>0</v>
      </c>
      <c r="AI25" s="1263">
        <v>0</v>
      </c>
      <c r="AJ25" s="1259">
        <v>0</v>
      </c>
    </row>
    <row r="26" spans="1:36" ht="33" customHeight="1" thickTop="1" thickBot="1" x14ac:dyDescent="0.25">
      <c r="A26" s="12" t="s">
        <v>71</v>
      </c>
      <c r="B26" s="10"/>
      <c r="C26" s="1245">
        <f t="shared" ref="C26:L26" si="4">SUM(C21:C25)</f>
        <v>82</v>
      </c>
      <c r="D26" s="1247">
        <f t="shared" si="4"/>
        <v>257</v>
      </c>
      <c r="E26" s="1245">
        <f t="shared" si="4"/>
        <v>11</v>
      </c>
      <c r="F26" s="1247">
        <f t="shared" si="4"/>
        <v>50</v>
      </c>
      <c r="G26" s="1245">
        <f t="shared" si="4"/>
        <v>0</v>
      </c>
      <c r="H26" s="1247">
        <f t="shared" si="4"/>
        <v>0</v>
      </c>
      <c r="I26" s="1245">
        <f t="shared" si="4"/>
        <v>57</v>
      </c>
      <c r="J26" s="1247">
        <f t="shared" si="4"/>
        <v>114</v>
      </c>
      <c r="K26" s="1245">
        <f t="shared" si="4"/>
        <v>102</v>
      </c>
      <c r="L26" s="1247">
        <f t="shared" si="4"/>
        <v>37</v>
      </c>
      <c r="AA26" s="1264">
        <f t="shared" ref="AA26:AJ26" si="5">SUM(AA21:AA25)</f>
        <v>82</v>
      </c>
      <c r="AB26" s="1265">
        <f t="shared" si="5"/>
        <v>257</v>
      </c>
      <c r="AC26" s="1264">
        <f t="shared" si="5"/>
        <v>11</v>
      </c>
      <c r="AD26" s="1265">
        <f t="shared" si="5"/>
        <v>50</v>
      </c>
      <c r="AE26" s="1264">
        <f t="shared" si="5"/>
        <v>0</v>
      </c>
      <c r="AF26" s="1265">
        <f t="shared" si="5"/>
        <v>0</v>
      </c>
      <c r="AG26" s="1264">
        <f t="shared" si="5"/>
        <v>57</v>
      </c>
      <c r="AH26" s="1265">
        <f t="shared" si="5"/>
        <v>114</v>
      </c>
      <c r="AI26" s="1264">
        <f t="shared" si="5"/>
        <v>102</v>
      </c>
      <c r="AJ26" s="1265">
        <f t="shared" si="5"/>
        <v>37</v>
      </c>
    </row>
    <row r="27" spans="1:36" ht="8.25" customHeight="1" x14ac:dyDescent="0.2">
      <c r="A27" s="6"/>
    </row>
    <row r="28" spans="1:36" ht="12.75" x14ac:dyDescent="0.2">
      <c r="A28" s="1248" t="s">
        <v>131</v>
      </c>
    </row>
    <row r="29" spans="1:36" ht="12.75" x14ac:dyDescent="0.2">
      <c r="A29" s="1248" t="s">
        <v>132</v>
      </c>
    </row>
  </sheetData>
  <sheetProtection password="DD41" sheet="1" formatColumns="0" selectLockedCells="1"/>
  <mergeCells count="12">
    <mergeCell ref="AG19:AH19"/>
    <mergeCell ref="AI19:AJ19"/>
    <mergeCell ref="A14:AC14"/>
    <mergeCell ref="G17:L17"/>
    <mergeCell ref="C19:D19"/>
    <mergeCell ref="E19:F19"/>
    <mergeCell ref="G19:H19"/>
    <mergeCell ref="I19:J19"/>
    <mergeCell ref="K19:L19"/>
    <mergeCell ref="AA19:AB19"/>
    <mergeCell ref="AC19:AD19"/>
    <mergeCell ref="AE19:AF19"/>
  </mergeCells>
  <dataValidations count="2">
    <dataValidation type="whole" allowBlank="1" showErrorMessage="1" promptTitle="ATTENZIONE!" prompt="Inserire solo numeri decimali con due cifre dopo la virgola" sqref="AA21:AJ25 C21:L25">
      <formula1>0</formula1>
      <formula2>9999999</formula2>
    </dataValidation>
    <dataValidation type="decimal" allowBlank="1" showInputMessage="1" showErrorMessage="1" promptTitle="ATTENZIONE!" prompt="Inserire solo numeri decimali con due cifre dopo la virgola" sqref="C6:J10 AA6:AH10">
      <formula1>0</formula1>
      <formula2>9999999</formula2>
    </dataValidation>
  </dataValidations>
  <printOptions horizontalCentered="1" verticalCentered="1"/>
  <pageMargins left="0.25" right="0.25" top="0.75" bottom="0.75" header="0.3" footer="0.3"/>
  <pageSetup paperSize="8" scale="90" fitToWidth="0" orientation="landscape"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94177" r:id="rId4" name="Drop Down 1">
              <controlPr defaultSize="0" autoLine="0" autoPict="0" altText="No">
                <anchor moveWithCells="1">
                  <from>
                    <xdr:col>29</xdr:col>
                    <xdr:colOff>180975</xdr:colOff>
                    <xdr:row>12</xdr:row>
                    <xdr:rowOff>142875</xdr:rowOff>
                  </from>
                  <to>
                    <xdr:col>30</xdr:col>
                    <xdr:colOff>257175</xdr:colOff>
                    <xdr:row>13</xdr:row>
                    <xdr:rowOff>161925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4"/>
  <dimension ref="A1:T31"/>
  <sheetViews>
    <sheetView workbookViewId="0">
      <selection activeCell="D12" sqref="D12"/>
    </sheetView>
  </sheetViews>
  <sheetFormatPr defaultColWidth="9.33203125" defaultRowHeight="10.5" x14ac:dyDescent="0.15"/>
  <cols>
    <col min="1" max="1" width="6.1640625" style="465" bestFit="1" customWidth="1"/>
    <col min="2" max="2" width="13" style="446" customWidth="1"/>
    <col min="3" max="3" width="29.6640625" style="446" customWidth="1"/>
    <col min="4" max="11" width="13.5" style="446" customWidth="1"/>
    <col min="12" max="19" width="7.6640625" style="446" hidden="1" customWidth="1"/>
    <col min="20" max="20" width="0" style="446" hidden="1" customWidth="1"/>
    <col min="21" max="21" width="8" style="446" customWidth="1"/>
    <col min="22" max="22" width="10.5" style="446" customWidth="1"/>
    <col min="23" max="16384" width="9.33203125" style="446"/>
  </cols>
  <sheetData>
    <row r="1" spans="1:19" ht="23.25" customHeight="1" x14ac:dyDescent="0.15">
      <c r="A1" s="465" t="str">
        <f>SI_1!A2</f>
        <v>REVA</v>
      </c>
      <c r="B1" s="1480" t="str">
        <f>'t1'!A1</f>
        <v>REGIONE VALLE D'AOSTA - anno 2024</v>
      </c>
      <c r="C1" s="1480"/>
      <c r="D1" s="1480"/>
      <c r="E1" s="1480"/>
      <c r="F1" s="1480"/>
      <c r="G1" s="1480"/>
      <c r="H1" s="1480"/>
      <c r="I1" s="1480"/>
      <c r="J1" s="1480"/>
      <c r="K1" s="1480"/>
      <c r="L1" s="1480"/>
      <c r="M1" s="1480"/>
      <c r="N1" s="1480"/>
      <c r="O1" s="1480"/>
      <c r="P1" s="1480"/>
      <c r="Q1" s="1480"/>
      <c r="R1" s="1480"/>
      <c r="S1" s="1480"/>
    </row>
    <row r="3" spans="1:19" ht="23.25" customHeight="1" x14ac:dyDescent="0.25">
      <c r="D3" s="463"/>
      <c r="E3" s="463"/>
      <c r="F3" s="463"/>
      <c r="G3" s="463"/>
      <c r="H3" s="463"/>
      <c r="I3" s="463"/>
      <c r="J3" s="479"/>
      <c r="K3" s="479"/>
      <c r="M3" s="464"/>
      <c r="N3" s="464"/>
      <c r="O3" s="464"/>
      <c r="P3" s="464"/>
      <c r="Q3" s="464"/>
      <c r="R3" s="464"/>
    </row>
    <row r="4" spans="1:19" ht="12" x14ac:dyDescent="0.2">
      <c r="D4" s="466"/>
    </row>
    <row r="6" spans="1:19" ht="15" hidden="1" customHeight="1" thickTop="1" x14ac:dyDescent="0.15">
      <c r="B6" s="1477"/>
      <c r="C6" s="1478"/>
      <c r="D6" s="1481"/>
      <c r="E6" s="1482"/>
      <c r="F6" s="1482"/>
      <c r="G6" s="1482"/>
      <c r="H6" s="1482"/>
      <c r="I6" s="1482"/>
      <c r="J6" s="1482"/>
      <c r="K6" s="1483"/>
      <c r="L6" s="1481"/>
      <c r="M6" s="1482"/>
      <c r="N6" s="1482"/>
      <c r="O6" s="1482"/>
      <c r="P6" s="1482"/>
      <c r="Q6" s="1482"/>
      <c r="R6" s="1482"/>
      <c r="S6" s="1483"/>
    </row>
    <row r="7" spans="1:19" ht="13.5" hidden="1" customHeight="1" x14ac:dyDescent="0.15">
      <c r="B7" s="1477"/>
      <c r="C7" s="1478"/>
      <c r="D7" s="1484"/>
      <c r="E7" s="1477"/>
      <c r="F7" s="1477"/>
      <c r="G7" s="1477"/>
      <c r="H7" s="1477"/>
      <c r="I7" s="1477"/>
      <c r="J7" s="1477"/>
      <c r="K7" s="1485"/>
      <c r="L7" s="1484"/>
      <c r="M7" s="1477"/>
      <c r="N7" s="1477"/>
      <c r="O7" s="1477"/>
      <c r="P7" s="1477"/>
      <c r="Q7" s="1477"/>
      <c r="R7" s="1477"/>
      <c r="S7" s="1485"/>
    </row>
    <row r="8" spans="1:19" ht="60" customHeight="1" x14ac:dyDescent="0.2">
      <c r="B8" s="1477" t="s">
        <v>382</v>
      </c>
      <c r="C8" s="1478"/>
      <c r="D8" s="1479" t="s">
        <v>341</v>
      </c>
      <c r="E8" s="1472"/>
      <c r="F8" s="1472" t="s">
        <v>342</v>
      </c>
      <c r="G8" s="1472"/>
      <c r="H8" s="1472" t="s">
        <v>343</v>
      </c>
      <c r="I8" s="1472"/>
      <c r="J8" s="1472" t="s">
        <v>344</v>
      </c>
      <c r="K8" s="1473"/>
      <c r="L8" s="1475"/>
      <c r="M8" s="1472"/>
      <c r="N8" s="1472"/>
      <c r="O8" s="1472"/>
      <c r="P8" s="1472"/>
      <c r="Q8" s="1472"/>
      <c r="R8" s="1472"/>
      <c r="S8" s="1473"/>
    </row>
    <row r="9" spans="1:19" ht="12" x14ac:dyDescent="0.2">
      <c r="B9" s="1472" t="s">
        <v>345</v>
      </c>
      <c r="C9" s="1474"/>
      <c r="D9" s="471" t="s">
        <v>86</v>
      </c>
      <c r="E9" s="470" t="s">
        <v>87</v>
      </c>
      <c r="F9" s="469" t="s">
        <v>86</v>
      </c>
      <c r="G9" s="470" t="s">
        <v>87</v>
      </c>
      <c r="H9" s="469" t="s">
        <v>86</v>
      </c>
      <c r="I9" s="470" t="s">
        <v>87</v>
      </c>
      <c r="J9" s="469" t="s">
        <v>86</v>
      </c>
      <c r="K9" s="472" t="s">
        <v>87</v>
      </c>
      <c r="L9" s="471"/>
      <c r="M9" s="470"/>
      <c r="N9" s="469"/>
      <c r="O9" s="470"/>
      <c r="P9" s="469"/>
      <c r="Q9" s="470"/>
      <c r="R9" s="469"/>
      <c r="S9" s="472"/>
    </row>
    <row r="10" spans="1:19" ht="30.75" hidden="1" customHeight="1" x14ac:dyDescent="0.2">
      <c r="A10" s="465" t="s">
        <v>1082</v>
      </c>
      <c r="B10" s="1472" t="s">
        <v>1053</v>
      </c>
      <c r="C10" s="1474"/>
      <c r="D10" s="584"/>
      <c r="E10" s="484"/>
      <c r="F10" s="484"/>
      <c r="G10" s="484"/>
      <c r="H10" s="485"/>
      <c r="I10" s="485"/>
      <c r="J10" s="485"/>
      <c r="K10" s="487"/>
      <c r="L10" s="486"/>
      <c r="M10" s="485"/>
      <c r="N10" s="485"/>
      <c r="O10" s="485"/>
      <c r="P10" s="485"/>
      <c r="Q10" s="485"/>
      <c r="R10" s="485"/>
      <c r="S10" s="487"/>
    </row>
    <row r="11" spans="1:19" ht="8.1" customHeight="1" x14ac:dyDescent="0.2">
      <c r="B11" s="1476"/>
      <c r="C11" s="1476"/>
      <c r="D11" s="1476"/>
      <c r="E11" s="1476"/>
      <c r="F11" s="1476"/>
      <c r="G11" s="1476"/>
      <c r="H11" s="1476"/>
      <c r="I11" s="1476"/>
      <c r="J11" s="1476"/>
      <c r="K11" s="1476"/>
      <c r="L11" s="1476"/>
      <c r="M11" s="1476"/>
      <c r="N11" s="1476"/>
      <c r="O11" s="1476"/>
      <c r="P11" s="1476"/>
      <c r="Q11" s="1476"/>
      <c r="R11" s="1476"/>
      <c r="S11" s="1476"/>
    </row>
    <row r="12" spans="1:19" ht="13.5" customHeight="1" x14ac:dyDescent="0.2">
      <c r="A12" s="465" t="str">
        <f>'t2'!B6</f>
        <v>CD</v>
      </c>
      <c r="B12" s="1469" t="s">
        <v>346</v>
      </c>
      <c r="C12" s="473" t="str">
        <f>'t2'!A6</f>
        <v>Categoria D</v>
      </c>
      <c r="D12" s="488">
        <v>5</v>
      </c>
      <c r="E12" s="485">
        <v>9</v>
      </c>
      <c r="F12" s="485">
        <v>1</v>
      </c>
      <c r="G12" s="485">
        <v>8</v>
      </c>
      <c r="H12" s="485"/>
      <c r="I12" s="485">
        <v>2</v>
      </c>
      <c r="J12" s="485">
        <v>1</v>
      </c>
      <c r="K12" s="487">
        <v>1</v>
      </c>
      <c r="L12" s="486"/>
      <c r="M12" s="485"/>
      <c r="N12" s="485"/>
      <c r="O12" s="485"/>
      <c r="P12" s="485"/>
      <c r="Q12" s="485"/>
      <c r="R12" s="485"/>
      <c r="S12" s="487"/>
    </row>
    <row r="13" spans="1:19" ht="13.5" customHeight="1" x14ac:dyDescent="0.2">
      <c r="A13" s="465" t="str">
        <f>'t2'!B7</f>
        <v>CC</v>
      </c>
      <c r="B13" s="1470"/>
      <c r="C13" s="473" t="str">
        <f>'t2'!A7</f>
        <v>Categoria C</v>
      </c>
      <c r="D13" s="488">
        <v>8</v>
      </c>
      <c r="E13" s="485">
        <v>5</v>
      </c>
      <c r="F13" s="485">
        <v>5</v>
      </c>
      <c r="G13" s="485">
        <v>7</v>
      </c>
      <c r="H13" s="485">
        <v>1</v>
      </c>
      <c r="I13" s="485">
        <v>4</v>
      </c>
      <c r="J13" s="485"/>
      <c r="K13" s="487"/>
      <c r="L13" s="486"/>
      <c r="M13" s="485"/>
      <c r="N13" s="485"/>
      <c r="O13" s="485"/>
      <c r="P13" s="485"/>
      <c r="Q13" s="485"/>
      <c r="R13" s="485"/>
      <c r="S13" s="487"/>
    </row>
    <row r="14" spans="1:19" ht="13.5" customHeight="1" x14ac:dyDescent="0.2">
      <c r="A14" s="465" t="str">
        <f>'t2'!B8</f>
        <v>CB</v>
      </c>
      <c r="B14" s="1470"/>
      <c r="C14" s="473" t="str">
        <f>'t2'!A8</f>
        <v>Categoria B</v>
      </c>
      <c r="D14" s="488">
        <v>11</v>
      </c>
      <c r="E14" s="485">
        <v>21</v>
      </c>
      <c r="F14" s="485">
        <v>1</v>
      </c>
      <c r="G14" s="485">
        <v>1</v>
      </c>
      <c r="H14" s="485"/>
      <c r="I14" s="485"/>
      <c r="J14" s="485"/>
      <c r="K14" s="487"/>
      <c r="L14" s="486"/>
      <c r="M14" s="485"/>
      <c r="N14" s="485"/>
      <c r="O14" s="485"/>
      <c r="P14" s="485"/>
      <c r="Q14" s="485"/>
      <c r="R14" s="485"/>
      <c r="S14" s="487"/>
    </row>
    <row r="15" spans="1:19" ht="13.5" customHeight="1" x14ac:dyDescent="0.2">
      <c r="A15" s="465" t="str">
        <f>'t2'!B9</f>
        <v>CA</v>
      </c>
      <c r="B15" s="1470"/>
      <c r="C15" s="473" t="str">
        <f>'t2'!A9</f>
        <v>Categoria A</v>
      </c>
      <c r="D15" s="488"/>
      <c r="E15" s="485"/>
      <c r="F15" s="485"/>
      <c r="G15" s="485"/>
      <c r="H15" s="485"/>
      <c r="I15" s="485"/>
      <c r="J15" s="485"/>
      <c r="K15" s="487"/>
      <c r="L15" s="486"/>
      <c r="M15" s="485"/>
      <c r="N15" s="485"/>
      <c r="O15" s="485"/>
      <c r="P15" s="485"/>
      <c r="Q15" s="485"/>
      <c r="R15" s="485"/>
      <c r="S15" s="487"/>
    </row>
    <row r="16" spans="1:19" ht="13.5" customHeight="1" thickBot="1" x14ac:dyDescent="0.25">
      <c r="A16" s="465" t="str">
        <f>'t2'!B10</f>
        <v>PC</v>
      </c>
      <c r="B16" s="1470"/>
      <c r="C16" s="473" t="str">
        <f>'t2'!A10</f>
        <v>Personale contrattista</v>
      </c>
      <c r="D16" s="489"/>
      <c r="E16" s="490"/>
      <c r="F16" s="490"/>
      <c r="G16" s="490"/>
      <c r="H16" s="490"/>
      <c r="I16" s="490"/>
      <c r="J16" s="490">
        <v>97</v>
      </c>
      <c r="K16" s="492">
        <v>31</v>
      </c>
      <c r="L16" s="486"/>
      <c r="M16" s="485"/>
      <c r="N16" s="485"/>
      <c r="O16" s="485"/>
      <c r="P16" s="485"/>
      <c r="Q16" s="485"/>
      <c r="R16" s="485"/>
      <c r="S16" s="487"/>
    </row>
    <row r="17" spans="1:20" ht="13.5" customHeight="1" thickBot="1" x14ac:dyDescent="0.25">
      <c r="A17" s="465" t="e">
        <f>#REF!</f>
        <v>#REF!</v>
      </c>
      <c r="B17" s="1471"/>
      <c r="C17" s="474" t="s">
        <v>347</v>
      </c>
      <c r="D17" s="493">
        <f t="shared" ref="D17:K17" si="0">SUM(D12:D16)</f>
        <v>24</v>
      </c>
      <c r="E17" s="494">
        <f t="shared" si="0"/>
        <v>35</v>
      </c>
      <c r="F17" s="494">
        <f t="shared" si="0"/>
        <v>7</v>
      </c>
      <c r="G17" s="494">
        <f t="shared" si="0"/>
        <v>16</v>
      </c>
      <c r="H17" s="494">
        <f t="shared" si="0"/>
        <v>1</v>
      </c>
      <c r="I17" s="494">
        <f t="shared" si="0"/>
        <v>6</v>
      </c>
      <c r="J17" s="494">
        <f t="shared" si="0"/>
        <v>98</v>
      </c>
      <c r="K17" s="495">
        <f t="shared" si="0"/>
        <v>32</v>
      </c>
      <c r="L17" s="491"/>
      <c r="M17" s="490"/>
      <c r="N17" s="490"/>
      <c r="O17" s="490"/>
      <c r="P17" s="490"/>
      <c r="Q17" s="490"/>
      <c r="R17" s="490"/>
      <c r="S17" s="492"/>
    </row>
    <row r="18" spans="1:20" ht="13.5" x14ac:dyDescent="0.3">
      <c r="L18" s="493"/>
      <c r="M18" s="494"/>
      <c r="N18" s="494"/>
      <c r="O18" s="494"/>
      <c r="P18" s="494"/>
      <c r="Q18" s="494"/>
      <c r="R18" s="494"/>
      <c r="S18" s="495"/>
      <c r="T18" s="467">
        <f>SUM(D18:S18,D10:S10)</f>
        <v>0</v>
      </c>
    </row>
    <row r="26" spans="1:20" ht="16.5" customHeight="1" x14ac:dyDescent="0.2">
      <c r="F26" s="468"/>
      <c r="G26" s="468"/>
    </row>
    <row r="27" spans="1:20" ht="12.75" x14ac:dyDescent="0.2">
      <c r="F27" s="468"/>
      <c r="G27" s="468"/>
    </row>
    <row r="29" spans="1:20" ht="12.75" x14ac:dyDescent="0.2">
      <c r="F29" s="468"/>
      <c r="G29" s="468"/>
    </row>
    <row r="31" spans="1:20" ht="12.75" x14ac:dyDescent="0.2">
      <c r="F31" s="468"/>
      <c r="G31" s="468"/>
    </row>
  </sheetData>
  <sheetProtection algorithmName="SHA-512" hashValue="/xpr6q4c0mAzQYetEUfWjFRCdfTRWZgweGIrmdLwM8fMgw3RqNSG0RSeJ3hF/eL5WEnjSFYnUfCz31Dk74wIOA==" saltValue="7aJ6NQN5vWzCbUBkJJRvbQ==" spinCount="100000" sheet="1" formatColumns="0" selectLockedCells="1"/>
  <mergeCells count="17">
    <mergeCell ref="B1:S1"/>
    <mergeCell ref="B6:C7"/>
    <mergeCell ref="D6:K7"/>
    <mergeCell ref="L6:S7"/>
    <mergeCell ref="B12:B17"/>
    <mergeCell ref="P8:Q8"/>
    <mergeCell ref="R8:S8"/>
    <mergeCell ref="B9:C9"/>
    <mergeCell ref="B10:C10"/>
    <mergeCell ref="J8:K8"/>
    <mergeCell ref="L8:M8"/>
    <mergeCell ref="N8:O8"/>
    <mergeCell ref="B11:S11"/>
    <mergeCell ref="B8:C8"/>
    <mergeCell ref="D8:E8"/>
    <mergeCell ref="F8:G8"/>
    <mergeCell ref="H8:I8"/>
  </mergeCells>
  <phoneticPr fontId="0" type="noConversion"/>
  <dataValidations count="1">
    <dataValidation type="whole" allowBlank="1" showInputMessage="1" showErrorMessage="1" errorTitle="ERRORE" error="INSERIRE SOLO NUMERI INTERI COMPRESI TRA 0 E 9999999" sqref="D10:S10 D12:K16 L12:S17">
      <formula1>0</formula1>
      <formula2>9999999</formula2>
    </dataValidation>
  </dataValidations>
  <pageMargins left="0.39" right="0.4" top="1" bottom="1" header="0.5" footer="0.5"/>
  <pageSetup paperSize="9" orientation="landscape" horizontalDpi="0" verticalDpi="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0">
    <pageSetUpPr fitToPage="1"/>
  </sheetPr>
  <dimension ref="A1:V39"/>
  <sheetViews>
    <sheetView showGridLines="0" workbookViewId="0">
      <pane xSplit="2" ySplit="5" topLeftCell="C18" activePane="bottomRight" state="frozen"/>
      <selection activeCell="A2" sqref="A2"/>
      <selection pane="topRight" activeCell="A2" sqref="A2"/>
      <selection pane="bottomLeft" activeCell="A2" sqref="A2"/>
      <selection pane="bottomRight" activeCell="D24" sqref="D24"/>
    </sheetView>
  </sheetViews>
  <sheetFormatPr defaultColWidth="10.6640625" defaultRowHeight="11.25" x14ac:dyDescent="0.2"/>
  <cols>
    <col min="1" max="1" width="44.1640625" style="74" customWidth="1"/>
    <col min="2" max="2" width="10.6640625" style="83" customWidth="1"/>
    <col min="3" max="14" width="11.5" style="74" customWidth="1"/>
    <col min="15" max="16" width="11.5" customWidth="1"/>
    <col min="17" max="17" width="9.1640625" style="74" hidden="1" customWidth="1"/>
    <col min="18" max="18" width="9.1640625" style="74" customWidth="1"/>
    <col min="19" max="19" width="6.6640625" style="74" customWidth="1"/>
    <col min="20" max="23" width="10.6640625" style="74" customWidth="1"/>
    <col min="24" max="16384" width="10.6640625" style="74"/>
  </cols>
  <sheetData>
    <row r="1" spans="1:18" s="3" customFormat="1" ht="43.5" customHeight="1" x14ac:dyDescent="0.2">
      <c r="A1" s="1486" t="str">
        <f>'t1'!A1</f>
        <v>REGIONE VALLE D'AOSTA - anno 2024</v>
      </c>
      <c r="B1" s="1486"/>
      <c r="C1" s="1486"/>
      <c r="D1" s="1486"/>
      <c r="E1" s="1486"/>
      <c r="F1" s="1486"/>
      <c r="G1" s="1486"/>
      <c r="H1" s="1486"/>
      <c r="I1" s="1486"/>
      <c r="J1" s="1486"/>
      <c r="K1" s="1486"/>
      <c r="L1" s="1486"/>
      <c r="N1" s="270"/>
      <c r="O1"/>
      <c r="P1"/>
      <c r="Q1"/>
    </row>
    <row r="2" spans="1:18" s="3" customFormat="1" ht="30" customHeight="1" thickBot="1" x14ac:dyDescent="0.25">
      <c r="A2" s="269"/>
      <c r="B2" s="2"/>
      <c r="F2" s="1487"/>
      <c r="G2" s="1487"/>
      <c r="H2" s="1487"/>
      <c r="I2" s="1487"/>
      <c r="J2" s="1487"/>
      <c r="K2" s="1487"/>
      <c r="L2" s="1487"/>
      <c r="M2" s="1487"/>
      <c r="N2" s="1487"/>
      <c r="O2"/>
      <c r="P2"/>
      <c r="Q2"/>
    </row>
    <row r="3" spans="1:18" ht="18.75" customHeight="1" thickBot="1" x14ac:dyDescent="0.25">
      <c r="A3" s="75"/>
      <c r="B3" s="76"/>
      <c r="C3" s="115" t="s">
        <v>136</v>
      </c>
      <c r="D3" s="116"/>
      <c r="E3" s="116"/>
      <c r="F3" s="117"/>
      <c r="G3" s="116"/>
      <c r="H3" s="116"/>
      <c r="I3" s="116"/>
      <c r="J3" s="116"/>
      <c r="K3" s="1491" t="s">
        <v>137</v>
      </c>
      <c r="L3" s="1492"/>
      <c r="M3" s="1492"/>
      <c r="N3" s="1492"/>
      <c r="O3" s="1492"/>
      <c r="P3" s="1493"/>
      <c r="Q3"/>
      <c r="R3"/>
    </row>
    <row r="4" spans="1:18" ht="21.75" customHeight="1" thickTop="1" x14ac:dyDescent="0.2">
      <c r="A4" s="241" t="s">
        <v>134</v>
      </c>
      <c r="B4" s="242" t="s">
        <v>68</v>
      </c>
      <c r="C4" s="118" t="s">
        <v>181</v>
      </c>
      <c r="D4" s="119"/>
      <c r="E4" s="1488" t="s">
        <v>97</v>
      </c>
      <c r="F4" s="1489"/>
      <c r="G4" s="1490" t="s">
        <v>58</v>
      </c>
      <c r="H4" s="1490"/>
      <c r="I4" s="1494" t="s">
        <v>741</v>
      </c>
      <c r="J4" s="1495"/>
      <c r="K4" s="118" t="s">
        <v>181</v>
      </c>
      <c r="L4" s="120"/>
      <c r="M4" s="121" t="s">
        <v>97</v>
      </c>
      <c r="N4" s="120"/>
      <c r="O4" s="121" t="s">
        <v>58</v>
      </c>
      <c r="P4" s="120"/>
      <c r="Q4"/>
      <c r="R4"/>
    </row>
    <row r="5" spans="1:18" ht="12" thickBot="1" x14ac:dyDescent="0.25">
      <c r="A5" s="744" t="s">
        <v>635</v>
      </c>
      <c r="B5" s="243"/>
      <c r="C5" s="122" t="s">
        <v>69</v>
      </c>
      <c r="D5" s="123" t="s">
        <v>70</v>
      </c>
      <c r="E5" s="124" t="s">
        <v>69</v>
      </c>
      <c r="F5" s="123" t="s">
        <v>70</v>
      </c>
      <c r="G5" s="124" t="s">
        <v>69</v>
      </c>
      <c r="H5" s="123" t="s">
        <v>70</v>
      </c>
      <c r="I5" s="124" t="s">
        <v>69</v>
      </c>
      <c r="J5" s="123" t="s">
        <v>70</v>
      </c>
      <c r="K5" s="125" t="s">
        <v>69</v>
      </c>
      <c r="L5" s="126" t="s">
        <v>70</v>
      </c>
      <c r="M5" s="127" t="s">
        <v>69</v>
      </c>
      <c r="N5" s="126" t="s">
        <v>70</v>
      </c>
      <c r="O5" s="127" t="s">
        <v>69</v>
      </c>
      <c r="P5" s="126" t="s">
        <v>70</v>
      </c>
      <c r="Q5"/>
      <c r="R5"/>
    </row>
    <row r="6" spans="1:18" ht="12.75" customHeight="1" thickTop="1" x14ac:dyDescent="0.2">
      <c r="A6" s="16" t="str">
        <f>'t1'!A6</f>
        <v>SEGRETARIO I FASCIA</v>
      </c>
      <c r="B6" s="244" t="str">
        <f>'t1'!B6</f>
        <v>0D0102</v>
      </c>
      <c r="C6" s="196"/>
      <c r="D6" s="197"/>
      <c r="E6" s="198"/>
      <c r="F6" s="433"/>
      <c r="G6" s="204"/>
      <c r="H6" s="197"/>
      <c r="I6" s="204"/>
      <c r="J6" s="197"/>
      <c r="K6" s="199"/>
      <c r="L6" s="200"/>
      <c r="M6" s="201"/>
      <c r="N6" s="496"/>
      <c r="O6" s="497"/>
      <c r="P6" s="476"/>
      <c r="Q6">
        <f>'t1'!M6</f>
        <v>0</v>
      </c>
      <c r="R6"/>
    </row>
    <row r="7" spans="1:18" ht="12.75" customHeight="1" x14ac:dyDescent="0.2">
      <c r="A7" s="16" t="str">
        <f>'t1'!A7</f>
        <v>SEGRETARIO II FASCIA</v>
      </c>
      <c r="B7" s="244" t="str">
        <f>'t1'!B7</f>
        <v>0D0103</v>
      </c>
      <c r="C7" s="196"/>
      <c r="D7" s="197"/>
      <c r="E7" s="198"/>
      <c r="F7" s="433"/>
      <c r="G7" s="204"/>
      <c r="H7" s="197"/>
      <c r="I7" s="204"/>
      <c r="J7" s="197"/>
      <c r="K7" s="199"/>
      <c r="L7" s="200"/>
      <c r="M7" s="201"/>
      <c r="N7" s="496"/>
      <c r="O7" s="497"/>
      <c r="P7" s="476"/>
      <c r="Q7">
        <f>'t1'!M7</f>
        <v>0</v>
      </c>
      <c r="R7"/>
    </row>
    <row r="8" spans="1:18" ht="12.75" customHeight="1" x14ac:dyDescent="0.2">
      <c r="A8" s="16" t="str">
        <f>'t1'!A8</f>
        <v>SEGRETARIO III FASCIA</v>
      </c>
      <c r="B8" s="244" t="str">
        <f>'t1'!B8</f>
        <v>0D0485</v>
      </c>
      <c r="C8" s="196"/>
      <c r="D8" s="197"/>
      <c r="E8" s="198"/>
      <c r="F8" s="433"/>
      <c r="G8" s="204"/>
      <c r="H8" s="197"/>
      <c r="I8" s="204"/>
      <c r="J8" s="197"/>
      <c r="K8" s="199"/>
      <c r="L8" s="200"/>
      <c r="M8" s="201"/>
      <c r="N8" s="496"/>
      <c r="O8" s="497"/>
      <c r="P8" s="476"/>
      <c r="Q8">
        <f>'t1'!M8</f>
        <v>0</v>
      </c>
      <c r="R8"/>
    </row>
    <row r="9" spans="1:18" ht="12.75" customHeight="1" x14ac:dyDescent="0.2">
      <c r="A9" s="16" t="str">
        <f>'t1'!A9</f>
        <v>DIRIGENTI</v>
      </c>
      <c r="B9" s="244" t="str">
        <f>'t1'!B9</f>
        <v>0D0164</v>
      </c>
      <c r="C9" s="196"/>
      <c r="D9" s="197"/>
      <c r="E9" s="198"/>
      <c r="F9" s="433"/>
      <c r="G9" s="204"/>
      <c r="H9" s="197"/>
      <c r="I9" s="204"/>
      <c r="J9" s="197"/>
      <c r="K9" s="199"/>
      <c r="L9" s="200"/>
      <c r="M9" s="201"/>
      <c r="N9" s="496"/>
      <c r="O9" s="497"/>
      <c r="P9" s="476"/>
      <c r="Q9">
        <f>'t1'!M9</f>
        <v>112</v>
      </c>
      <c r="R9"/>
    </row>
    <row r="10" spans="1:18" ht="12.75" customHeight="1" x14ac:dyDescent="0.2">
      <c r="A10" s="16" t="str">
        <f>'t1'!A10</f>
        <v>POSIZIONE ECONOMICA D</v>
      </c>
      <c r="B10" s="244" t="str">
        <f>'t1'!B10</f>
        <v>047000</v>
      </c>
      <c r="C10" s="196"/>
      <c r="D10" s="197">
        <v>3</v>
      </c>
      <c r="E10" s="198"/>
      <c r="F10" s="433"/>
      <c r="G10" s="204"/>
      <c r="H10" s="197"/>
      <c r="I10" s="204"/>
      <c r="J10" s="197"/>
      <c r="K10" s="199"/>
      <c r="L10" s="200"/>
      <c r="M10" s="201"/>
      <c r="N10" s="496"/>
      <c r="O10" s="497"/>
      <c r="P10" s="476"/>
      <c r="Q10">
        <f>'t1'!M10</f>
        <v>460</v>
      </c>
      <c r="R10"/>
    </row>
    <row r="11" spans="1:18" ht="12.75" customHeight="1" x14ac:dyDescent="0.2">
      <c r="A11" s="16" t="str">
        <f>'t1'!A11</f>
        <v>POSIZIONE ECONOMICA D - FORESTALE</v>
      </c>
      <c r="B11" s="244" t="str">
        <f>'t1'!B11</f>
        <v>047FOR</v>
      </c>
      <c r="C11" s="196"/>
      <c r="D11" s="197"/>
      <c r="E11" s="198"/>
      <c r="F11" s="433"/>
      <c r="G11" s="204"/>
      <c r="H11" s="197"/>
      <c r="I11" s="204"/>
      <c r="J11" s="197"/>
      <c r="K11" s="199"/>
      <c r="L11" s="200"/>
      <c r="M11" s="201"/>
      <c r="N11" s="496"/>
      <c r="O11" s="497"/>
      <c r="P11" s="476"/>
      <c r="Q11">
        <f>'t1'!M11</f>
        <v>0</v>
      </c>
      <c r="R11"/>
    </row>
    <row r="12" spans="1:18" ht="12.75" customHeight="1" x14ac:dyDescent="0.2">
      <c r="A12" s="16" t="str">
        <f>'t1'!A12</f>
        <v>POSIZIONE ECONOMICA D  ISPETTORE ANTINCENDI DIRETTORE-VVFF</v>
      </c>
      <c r="B12" s="244" t="str">
        <f>'t1'!B12</f>
        <v>047IS3</v>
      </c>
      <c r="C12" s="196"/>
      <c r="D12" s="197"/>
      <c r="E12" s="198"/>
      <c r="F12" s="433"/>
      <c r="G12" s="204"/>
      <c r="H12" s="197"/>
      <c r="I12" s="204"/>
      <c r="J12" s="197"/>
      <c r="K12" s="199"/>
      <c r="L12" s="200"/>
      <c r="M12" s="201"/>
      <c r="N12" s="496"/>
      <c r="O12" s="497"/>
      <c r="P12" s="476"/>
      <c r="Q12">
        <f>'t1'!M12</f>
        <v>0</v>
      </c>
      <c r="R12"/>
    </row>
    <row r="13" spans="1:18" ht="12.75" customHeight="1" x14ac:dyDescent="0.2">
      <c r="A13" s="16" t="str">
        <f>'t1'!A13</f>
        <v>POSIZIONE ECONOMICA D  ISPETTORE ANTINCENDI  VVFF</v>
      </c>
      <c r="B13" s="244" t="str">
        <f>'t1'!B13</f>
        <v>047IS2</v>
      </c>
      <c r="C13" s="196"/>
      <c r="D13" s="197"/>
      <c r="E13" s="198"/>
      <c r="F13" s="433"/>
      <c r="G13" s="204"/>
      <c r="H13" s="197"/>
      <c r="I13" s="204"/>
      <c r="J13" s="197"/>
      <c r="K13" s="199"/>
      <c r="L13" s="200"/>
      <c r="M13" s="201"/>
      <c r="N13" s="496"/>
      <c r="O13" s="497"/>
      <c r="P13" s="476"/>
      <c r="Q13">
        <f>'t1'!M13</f>
        <v>5</v>
      </c>
      <c r="R13"/>
    </row>
    <row r="14" spans="1:18" ht="12.75" customHeight="1" x14ac:dyDescent="0.2">
      <c r="A14" s="16" t="str">
        <f>'t1'!A14</f>
        <v>POSIZIONE ECONOMICA C2</v>
      </c>
      <c r="B14" s="244" t="str">
        <f>'t1'!B14</f>
        <v>042000</v>
      </c>
      <c r="C14" s="196"/>
      <c r="D14" s="197">
        <v>5</v>
      </c>
      <c r="E14" s="198"/>
      <c r="F14" s="433"/>
      <c r="G14" s="204"/>
      <c r="H14" s="197"/>
      <c r="I14" s="204"/>
      <c r="J14" s="197"/>
      <c r="K14" s="199"/>
      <c r="L14" s="200"/>
      <c r="M14" s="201"/>
      <c r="N14" s="496"/>
      <c r="O14" s="497"/>
      <c r="P14" s="476"/>
      <c r="Q14">
        <f>'t1'!M14</f>
        <v>766</v>
      </c>
      <c r="R14"/>
    </row>
    <row r="15" spans="1:18" ht="12.75" customHeight="1" x14ac:dyDescent="0.2">
      <c r="A15" s="16" t="str">
        <f>'t1'!A15</f>
        <v>POSIZIONE ECONOMICA C1</v>
      </c>
      <c r="B15" s="244" t="str">
        <f>'t1'!B15</f>
        <v>040000</v>
      </c>
      <c r="C15" s="196"/>
      <c r="D15" s="197"/>
      <c r="E15" s="198"/>
      <c r="F15" s="433"/>
      <c r="G15" s="204"/>
      <c r="H15" s="197"/>
      <c r="I15" s="204"/>
      <c r="J15" s="197"/>
      <c r="K15" s="199"/>
      <c r="L15" s="200"/>
      <c r="M15" s="201"/>
      <c r="N15" s="496"/>
      <c r="O15" s="497"/>
      <c r="P15" s="476"/>
      <c r="Q15">
        <f>'t1'!M15</f>
        <v>25</v>
      </c>
      <c r="R15"/>
    </row>
    <row r="16" spans="1:18" ht="12.75" customHeight="1" x14ac:dyDescent="0.2">
      <c r="A16" s="16" t="str">
        <f>'t1'!A16</f>
        <v>ISPETTORE FORESTALE C21F</v>
      </c>
      <c r="B16" s="244" t="str">
        <f>'t1'!B16</f>
        <v>042324</v>
      </c>
      <c r="C16" s="196">
        <v>2</v>
      </c>
      <c r="D16" s="197"/>
      <c r="E16" s="198"/>
      <c r="F16" s="433"/>
      <c r="G16" s="204"/>
      <c r="H16" s="197"/>
      <c r="I16" s="204"/>
      <c r="J16" s="197"/>
      <c r="K16" s="199"/>
      <c r="L16" s="200"/>
      <c r="M16" s="201"/>
      <c r="N16" s="496"/>
      <c r="O16" s="497"/>
      <c r="P16" s="476"/>
      <c r="Q16">
        <f>'t1'!M16</f>
        <v>19</v>
      </c>
      <c r="R16"/>
    </row>
    <row r="17" spans="1:18" ht="12.75" customHeight="1" x14ac:dyDescent="0.2">
      <c r="A17" s="16" t="str">
        <f>'t1'!A17</f>
        <v>SOVRAINTENDENTE C1F</v>
      </c>
      <c r="B17" s="244" t="str">
        <f>'t1'!B17</f>
        <v>040211</v>
      </c>
      <c r="C17" s="196"/>
      <c r="D17" s="197"/>
      <c r="E17" s="198"/>
      <c r="F17" s="433"/>
      <c r="G17" s="204"/>
      <c r="H17" s="197"/>
      <c r="I17" s="204"/>
      <c r="J17" s="197"/>
      <c r="K17" s="199"/>
      <c r="L17" s="200"/>
      <c r="M17" s="201"/>
      <c r="N17" s="496"/>
      <c r="O17" s="497"/>
      <c r="P17" s="476"/>
      <c r="Q17">
        <f>'t1'!M17</f>
        <v>27</v>
      </c>
      <c r="R17"/>
    </row>
    <row r="18" spans="1:18" ht="12.75" customHeight="1" x14ac:dyDescent="0.2">
      <c r="A18" s="16" t="str">
        <f>'t1'!A18</f>
        <v>POSIZIONE ECONOMICA C2  CAPO REPARTO  VVFF</v>
      </c>
      <c r="B18" s="244" t="str">
        <f>'t1'!B18</f>
        <v>042CR1</v>
      </c>
      <c r="C18" s="196"/>
      <c r="D18" s="197"/>
      <c r="E18" s="198"/>
      <c r="F18" s="433"/>
      <c r="G18" s="204"/>
      <c r="H18" s="197"/>
      <c r="I18" s="204"/>
      <c r="J18" s="197"/>
      <c r="K18" s="199"/>
      <c r="L18" s="200"/>
      <c r="M18" s="201"/>
      <c r="N18" s="496"/>
      <c r="O18" s="497"/>
      <c r="P18" s="476"/>
      <c r="Q18">
        <f>'t1'!M18</f>
        <v>11</v>
      </c>
      <c r="R18"/>
    </row>
    <row r="19" spans="1:18" ht="12.75" customHeight="1" x14ac:dyDescent="0.2">
      <c r="A19" s="16" t="str">
        <f>'t1'!A19</f>
        <v>POSIZIONE ECONOMICA C2  COLLAB. TECNICO ANTINCENDI  VVFF</v>
      </c>
      <c r="B19" s="244" t="str">
        <f>'t1'!B19</f>
        <v>042CA0</v>
      </c>
      <c r="C19" s="196"/>
      <c r="D19" s="197"/>
      <c r="E19" s="198"/>
      <c r="F19" s="433"/>
      <c r="G19" s="204"/>
      <c r="H19" s="197"/>
      <c r="I19" s="204"/>
      <c r="J19" s="197"/>
      <c r="K19" s="199"/>
      <c r="L19" s="200"/>
      <c r="M19" s="201"/>
      <c r="N19" s="496"/>
      <c r="O19" s="497"/>
      <c r="P19" s="476"/>
      <c r="Q19">
        <f>'t1'!M19</f>
        <v>8</v>
      </c>
      <c r="R19"/>
    </row>
    <row r="20" spans="1:18" ht="12.75" customHeight="1" x14ac:dyDescent="0.2">
      <c r="A20" s="16" t="str">
        <f>'t1'!A20</f>
        <v>POSIZIONE ECONOMICA C1  CAPO SQUADRA  VVFF</v>
      </c>
      <c r="B20" s="244" t="str">
        <f>'t1'!B20</f>
        <v>040CS1</v>
      </c>
      <c r="C20" s="196"/>
      <c r="D20" s="197"/>
      <c r="E20" s="198"/>
      <c r="F20" s="433"/>
      <c r="G20" s="204"/>
      <c r="H20" s="197"/>
      <c r="I20" s="204"/>
      <c r="J20" s="197"/>
      <c r="K20" s="199"/>
      <c r="L20" s="200"/>
      <c r="M20" s="201"/>
      <c r="N20" s="496"/>
      <c r="O20" s="497"/>
      <c r="P20" s="476"/>
      <c r="Q20">
        <f>'t1'!M20</f>
        <v>31</v>
      </c>
      <c r="R20"/>
    </row>
    <row r="21" spans="1:18" ht="12.75" customHeight="1" x14ac:dyDescent="0.2">
      <c r="A21" s="16" t="str">
        <f>'t1'!A21</f>
        <v>POSIZIONE ECONOMICA B3</v>
      </c>
      <c r="B21" s="244" t="str">
        <f>'t1'!B21</f>
        <v>034000</v>
      </c>
      <c r="C21" s="196"/>
      <c r="D21" s="197"/>
      <c r="E21" s="198"/>
      <c r="F21" s="433"/>
      <c r="G21" s="204"/>
      <c r="H21" s="197"/>
      <c r="I21" s="204"/>
      <c r="J21" s="197"/>
      <c r="K21" s="199"/>
      <c r="L21" s="200"/>
      <c r="M21" s="201"/>
      <c r="N21" s="496"/>
      <c r="O21" s="497"/>
      <c r="P21" s="476"/>
      <c r="Q21">
        <f>'t1'!M21</f>
        <v>13</v>
      </c>
      <c r="R21"/>
    </row>
    <row r="22" spans="1:18" ht="12.75" customHeight="1" x14ac:dyDescent="0.2">
      <c r="A22" s="16" t="str">
        <f>'t1'!A22</f>
        <v>POSIZIONE ECONOMICA B2S</v>
      </c>
      <c r="B22" s="244" t="str">
        <f>'t1'!B22</f>
        <v>033000</v>
      </c>
      <c r="C22" s="196"/>
      <c r="D22" s="197"/>
      <c r="E22" s="198"/>
      <c r="F22" s="433"/>
      <c r="G22" s="204"/>
      <c r="H22" s="197"/>
      <c r="I22" s="204"/>
      <c r="J22" s="197"/>
      <c r="K22" s="199"/>
      <c r="L22" s="200"/>
      <c r="M22" s="201"/>
      <c r="N22" s="496"/>
      <c r="O22" s="497"/>
      <c r="P22" s="476"/>
      <c r="Q22">
        <f>'t1'!M22</f>
        <v>5</v>
      </c>
      <c r="R22"/>
    </row>
    <row r="23" spans="1:18" ht="12.75" customHeight="1" x14ac:dyDescent="0.2">
      <c r="A23" s="16" t="str">
        <f>'t1'!A23</f>
        <v>POSIZIONE ECONOMICA B2</v>
      </c>
      <c r="B23" s="244" t="str">
        <f>'t1'!B23</f>
        <v>032000</v>
      </c>
      <c r="C23" s="196"/>
      <c r="D23" s="197">
        <v>4</v>
      </c>
      <c r="E23" s="198"/>
      <c r="F23" s="433"/>
      <c r="G23" s="204"/>
      <c r="H23" s="197"/>
      <c r="I23" s="204"/>
      <c r="J23" s="197"/>
      <c r="K23" s="199"/>
      <c r="L23" s="200"/>
      <c r="M23" s="201"/>
      <c r="N23" s="496"/>
      <c r="O23" s="497"/>
      <c r="P23" s="476"/>
      <c r="Q23">
        <f>'t1'!M23</f>
        <v>516</v>
      </c>
      <c r="R23"/>
    </row>
    <row r="24" spans="1:18" ht="12.75" customHeight="1" x14ac:dyDescent="0.2">
      <c r="A24" s="16" t="str">
        <f>'t1'!A24</f>
        <v>POSIZIONE ECONOMICA B1</v>
      </c>
      <c r="B24" s="244" t="str">
        <f>'t1'!B24</f>
        <v>030000</v>
      </c>
      <c r="C24" s="196"/>
      <c r="D24" s="197"/>
      <c r="E24" s="198"/>
      <c r="F24" s="433"/>
      <c r="G24" s="204"/>
      <c r="H24" s="197"/>
      <c r="I24" s="204"/>
      <c r="J24" s="197"/>
      <c r="K24" s="199"/>
      <c r="L24" s="200"/>
      <c r="M24" s="201"/>
      <c r="N24" s="496"/>
      <c r="O24" s="497"/>
      <c r="P24" s="476"/>
      <c r="Q24">
        <f>'t1'!M24</f>
        <v>23</v>
      </c>
      <c r="R24"/>
    </row>
    <row r="25" spans="1:18" ht="12.75" customHeight="1" x14ac:dyDescent="0.2">
      <c r="A25" s="16" t="str">
        <f>'t1'!A25</f>
        <v>POS. EC. B3-GUARDIA  FORESTALE 5 A.</v>
      </c>
      <c r="B25" s="244" t="str">
        <f>'t1'!B25</f>
        <v>034561</v>
      </c>
      <c r="C25" s="196"/>
      <c r="D25" s="197"/>
      <c r="E25" s="198"/>
      <c r="F25" s="433"/>
      <c r="G25" s="204"/>
      <c r="H25" s="197"/>
      <c r="I25" s="204"/>
      <c r="J25" s="197"/>
      <c r="K25" s="199"/>
      <c r="L25" s="200"/>
      <c r="M25" s="201"/>
      <c r="N25" s="496"/>
      <c r="O25" s="497"/>
      <c r="P25" s="476"/>
      <c r="Q25">
        <f>'t1'!M25</f>
        <v>41</v>
      </c>
      <c r="R25"/>
    </row>
    <row r="26" spans="1:18" ht="12.75" customHeight="1" x14ac:dyDescent="0.2">
      <c r="A26" s="16" t="str">
        <f>'t1'!A26</f>
        <v>POS. EC. B2-GUARDIA  FORESTALE</v>
      </c>
      <c r="B26" s="244" t="str">
        <f>'t1'!B26</f>
        <v>032561</v>
      </c>
      <c r="C26" s="196"/>
      <c r="D26" s="197"/>
      <c r="E26" s="198"/>
      <c r="F26" s="433"/>
      <c r="G26" s="204"/>
      <c r="H26" s="197"/>
      <c r="I26" s="204"/>
      <c r="J26" s="197"/>
      <c r="K26" s="199"/>
      <c r="L26" s="200"/>
      <c r="M26" s="201"/>
      <c r="N26" s="496"/>
      <c r="O26" s="497"/>
      <c r="P26" s="476"/>
      <c r="Q26">
        <f>'t1'!M26</f>
        <v>24</v>
      </c>
      <c r="R26"/>
    </row>
    <row r="27" spans="1:18" ht="12.75" customHeight="1" x14ac:dyDescent="0.2">
      <c r="A27" s="16" t="str">
        <f>'t1'!A27</f>
        <v>POSIZIONE ECONOMICA B1 - FORESTALE</v>
      </c>
      <c r="B27" s="244" t="str">
        <f>'t1'!B27</f>
        <v>030FOR</v>
      </c>
      <c r="C27" s="196"/>
      <c r="D27" s="197"/>
      <c r="E27" s="198"/>
      <c r="F27" s="433"/>
      <c r="G27" s="204"/>
      <c r="H27" s="197"/>
      <c r="I27" s="204"/>
      <c r="J27" s="197"/>
      <c r="K27" s="199"/>
      <c r="L27" s="200"/>
      <c r="M27" s="201"/>
      <c r="N27" s="496"/>
      <c r="O27" s="497"/>
      <c r="P27" s="476"/>
      <c r="Q27">
        <f>'t1'!M27</f>
        <v>0</v>
      </c>
      <c r="R27"/>
    </row>
    <row r="28" spans="1:18" ht="12.75" customHeight="1" x14ac:dyDescent="0.2">
      <c r="A28" s="16" t="str">
        <f>'t1'!A28</f>
        <v>POSIZIONE ECONOMICA B3  VIGILE DEL FUOCO &gt; 5 ANNI</v>
      </c>
      <c r="B28" s="244" t="str">
        <f>'t1'!B28</f>
        <v>034VF5</v>
      </c>
      <c r="C28" s="196"/>
      <c r="D28" s="197"/>
      <c r="E28" s="198"/>
      <c r="F28" s="433"/>
      <c r="G28" s="204"/>
      <c r="H28" s="197"/>
      <c r="I28" s="204"/>
      <c r="J28" s="197"/>
      <c r="K28" s="199"/>
      <c r="L28" s="200"/>
      <c r="M28" s="201"/>
      <c r="N28" s="496"/>
      <c r="O28" s="497"/>
      <c r="P28" s="476"/>
      <c r="Q28">
        <f>'t1'!M28</f>
        <v>99</v>
      </c>
      <c r="R28"/>
    </row>
    <row r="29" spans="1:18" ht="12.75" customHeight="1" x14ac:dyDescent="0.2">
      <c r="A29" s="16" t="str">
        <f>'t1'!A29</f>
        <v>POSIZIONE ECONOMICA B2  VIGILE DEL FUOCO</v>
      </c>
      <c r="B29" s="244" t="str">
        <f>'t1'!B29</f>
        <v>032VF1</v>
      </c>
      <c r="C29" s="196"/>
      <c r="D29" s="197"/>
      <c r="E29" s="198"/>
      <c r="F29" s="433"/>
      <c r="G29" s="204"/>
      <c r="H29" s="197"/>
      <c r="I29" s="204"/>
      <c r="J29" s="197"/>
      <c r="K29" s="199"/>
      <c r="L29" s="200"/>
      <c r="M29" s="201"/>
      <c r="N29" s="496"/>
      <c r="O29" s="497"/>
      <c r="P29" s="476"/>
      <c r="Q29">
        <f>'t1'!M29</f>
        <v>19</v>
      </c>
      <c r="R29"/>
    </row>
    <row r="30" spans="1:18" ht="12.75" customHeight="1" x14ac:dyDescent="0.2">
      <c r="A30" s="16" t="str">
        <f>'t1'!A30</f>
        <v>POSIZIONE ECONOMICA A</v>
      </c>
      <c r="B30" s="244" t="str">
        <f>'t1'!B30</f>
        <v>022000</v>
      </c>
      <c r="C30" s="196"/>
      <c r="D30" s="197"/>
      <c r="E30" s="198"/>
      <c r="F30" s="433"/>
      <c r="G30" s="204"/>
      <c r="H30" s="197"/>
      <c r="I30" s="204"/>
      <c r="J30" s="197"/>
      <c r="K30" s="199"/>
      <c r="L30" s="200"/>
      <c r="M30" s="201"/>
      <c r="N30" s="496"/>
      <c r="O30" s="497"/>
      <c r="P30" s="476"/>
      <c r="Q30">
        <f>'t1'!M30</f>
        <v>220</v>
      </c>
      <c r="R30"/>
    </row>
    <row r="31" spans="1:18" ht="12.75" customHeight="1" x14ac:dyDescent="0.2">
      <c r="A31" s="16" t="str">
        <f>'t1'!A31</f>
        <v>CONTRATTISTI</v>
      </c>
      <c r="B31" s="244" t="str">
        <f>'t1'!B31</f>
        <v>000061</v>
      </c>
      <c r="C31" s="196"/>
      <c r="D31" s="197"/>
      <c r="E31" s="198"/>
      <c r="F31" s="433"/>
      <c r="G31" s="204"/>
      <c r="H31" s="197"/>
      <c r="I31" s="204"/>
      <c r="J31" s="197"/>
      <c r="K31" s="199"/>
      <c r="L31" s="200"/>
      <c r="M31" s="201"/>
      <c r="N31" s="496"/>
      <c r="O31" s="497"/>
      <c r="P31" s="476"/>
      <c r="Q31">
        <f>'t1'!M31</f>
        <v>128</v>
      </c>
      <c r="R31"/>
    </row>
    <row r="32" spans="1:18" ht="12.75" customHeight="1" x14ac:dyDescent="0.2">
      <c r="A32" s="16" t="str">
        <f>'t1'!A32</f>
        <v>SEGRETARIO GENERALE CCIAA</v>
      </c>
      <c r="B32" s="244" t="str">
        <f>'t1'!B32</f>
        <v>0D0104</v>
      </c>
      <c r="C32" s="196"/>
      <c r="D32" s="197"/>
      <c r="E32" s="198"/>
      <c r="F32" s="433"/>
      <c r="G32" s="204"/>
      <c r="H32" s="197"/>
      <c r="I32" s="204"/>
      <c r="J32" s="197"/>
      <c r="K32" s="199"/>
      <c r="L32" s="200"/>
      <c r="M32" s="201"/>
      <c r="N32" s="496"/>
      <c r="O32" s="497"/>
      <c r="P32" s="476"/>
      <c r="Q32">
        <f>'t1'!M32</f>
        <v>0</v>
      </c>
      <c r="R32"/>
    </row>
    <row r="33" spans="1:22" ht="12.75" customHeight="1" thickBot="1" x14ac:dyDescent="0.25">
      <c r="A33" s="16" t="str">
        <f>'t1'!A33</f>
        <v>COLLABORATORE A TEMPO DETERMINATO</v>
      </c>
      <c r="B33" s="244" t="str">
        <f>'t1'!B33</f>
        <v>000096</v>
      </c>
      <c r="C33" s="196"/>
      <c r="D33" s="197"/>
      <c r="E33" s="198"/>
      <c r="F33" s="433"/>
      <c r="G33" s="204"/>
      <c r="H33" s="197"/>
      <c r="I33" s="204"/>
      <c r="J33" s="197"/>
      <c r="K33" s="199"/>
      <c r="L33" s="200"/>
      <c r="M33" s="201"/>
      <c r="N33" s="496"/>
      <c r="O33" s="497"/>
      <c r="P33" s="476"/>
      <c r="Q33">
        <f>'t1'!M33</f>
        <v>11</v>
      </c>
      <c r="R33"/>
    </row>
    <row r="34" spans="1:22" ht="15.75" customHeight="1" thickTop="1" thickBot="1" x14ac:dyDescent="0.25">
      <c r="A34" s="81" t="s">
        <v>71</v>
      </c>
      <c r="B34" s="140"/>
      <c r="C34" s="368">
        <f t="shared" ref="C34:P34" si="0">SUM(C6:C33)</f>
        <v>2</v>
      </c>
      <c r="D34" s="369">
        <f t="shared" si="0"/>
        <v>12</v>
      </c>
      <c r="E34" s="370">
        <f t="shared" si="0"/>
        <v>0</v>
      </c>
      <c r="F34" s="434">
        <f t="shared" si="0"/>
        <v>0</v>
      </c>
      <c r="G34" s="370">
        <f t="shared" si="0"/>
        <v>0</v>
      </c>
      <c r="H34" s="432">
        <f t="shared" si="0"/>
        <v>0</v>
      </c>
      <c r="I34" s="370">
        <f t="shared" si="0"/>
        <v>0</v>
      </c>
      <c r="J34" s="432">
        <f t="shared" si="0"/>
        <v>0</v>
      </c>
      <c r="K34" s="368">
        <f t="shared" si="0"/>
        <v>0</v>
      </c>
      <c r="L34" s="369">
        <f t="shared" si="0"/>
        <v>0</v>
      </c>
      <c r="M34" s="370">
        <f t="shared" si="0"/>
        <v>0</v>
      </c>
      <c r="N34" s="369">
        <f t="shared" si="0"/>
        <v>0</v>
      </c>
      <c r="O34" s="498">
        <f t="shared" si="0"/>
        <v>0</v>
      </c>
      <c r="P34" s="439">
        <f t="shared" si="0"/>
        <v>0</v>
      </c>
      <c r="Q34"/>
      <c r="R34"/>
    </row>
    <row r="35" spans="1:22" x14ac:dyDescent="0.2">
      <c r="A35" s="17"/>
      <c r="B35" s="141"/>
      <c r="C35" s="3"/>
      <c r="D35" s="3"/>
      <c r="E35" s="3"/>
      <c r="F35" s="3"/>
      <c r="G35" s="3"/>
      <c r="H35" s="3"/>
      <c r="I35" s="3"/>
      <c r="J35" s="3"/>
      <c r="K35" s="3"/>
      <c r="L35" s="3"/>
      <c r="M35" s="3"/>
      <c r="N35" s="3"/>
    </row>
    <row r="36" spans="1:22" x14ac:dyDescent="0.2">
      <c r="A36" s="17" t="str">
        <f>'t1'!$A$35</f>
        <v>(a) personale a tempo indeterminato al quale viene applicato un contratto di lavoro di tipo privatistico (es.:tipografico,chimico,edile,metalmeccanico,portierato, ecc.)</v>
      </c>
      <c r="B36" s="141"/>
      <c r="C36" s="3"/>
      <c r="D36" s="143"/>
      <c r="E36" s="3"/>
      <c r="F36" s="3"/>
      <c r="G36" s="3"/>
      <c r="H36" s="3"/>
      <c r="I36" s="3"/>
      <c r="J36" s="3"/>
      <c r="K36" s="3"/>
      <c r="L36" s="3"/>
      <c r="M36" s="3"/>
      <c r="N36" s="3"/>
      <c r="Q36" s="3"/>
      <c r="R36" s="3"/>
      <c r="S36" s="3"/>
      <c r="T36" s="3"/>
      <c r="U36" s="3"/>
      <c r="V36" s="3"/>
    </row>
    <row r="37" spans="1:22" s="3" customFormat="1" x14ac:dyDescent="0.2">
      <c r="A37" s="17" t="str">
        <f>'t1'!$A$36</f>
        <v>(b) cfr." istruzioni generali e specifiche di comparto" e "glossario"</v>
      </c>
      <c r="B37" s="2"/>
    </row>
    <row r="38" spans="1:22" x14ac:dyDescent="0.2">
      <c r="A38" s="17" t="s">
        <v>238</v>
      </c>
      <c r="B38" s="142"/>
    </row>
    <row r="39" spans="1:22" x14ac:dyDescent="0.2">
      <c r="A39" s="63" t="s">
        <v>138</v>
      </c>
    </row>
  </sheetData>
  <sheetProtection password="DD41" sheet="1" formatColumns="0" selectLockedCells="1"/>
  <mergeCells count="6">
    <mergeCell ref="A1:L1"/>
    <mergeCell ref="F2:N2"/>
    <mergeCell ref="E4:F4"/>
    <mergeCell ref="G4:H4"/>
    <mergeCell ref="K3:P3"/>
    <mergeCell ref="I4:J4"/>
  </mergeCells>
  <phoneticPr fontId="30" type="noConversion"/>
  <conditionalFormatting sqref="A6:J33">
    <cfRule type="expression" dxfId="29" priority="1" stopIfTrue="1">
      <formula>$Q6&gt;0</formula>
    </cfRule>
  </conditionalFormatting>
  <printOptions horizontalCentered="1" verticalCentered="1"/>
  <pageMargins left="0.25" right="0.25" top="0.75" bottom="0.75" header="0.3" footer="0.3"/>
  <pageSetup paperSize="8" fitToHeight="0"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44</vt:i4>
      </vt:variant>
      <vt:variant>
        <vt:lpstr>Intervalli denominati</vt:lpstr>
      </vt:variant>
      <vt:variant>
        <vt:i4>45</vt:i4>
      </vt:variant>
    </vt:vector>
  </HeadingPairs>
  <TitlesOfParts>
    <vt:vector size="89" baseType="lpstr">
      <vt:lpstr>SI_1</vt:lpstr>
      <vt:lpstr>SI_1A(COMUNI-PROVINCE-CITTA_ME)</vt:lpstr>
      <vt:lpstr>SI_1A(UNIONE_COMUNI)</vt:lpstr>
      <vt:lpstr>SI_1A(COMUNITA_MONTANE)</vt:lpstr>
      <vt:lpstr>SI_1A_CONV</vt:lpstr>
      <vt:lpstr>t1</vt:lpstr>
      <vt:lpstr>t2</vt:lpstr>
      <vt:lpstr>t2A</vt:lpstr>
      <vt:lpstr>t3</vt:lpstr>
      <vt:lpstr>t4</vt:lpstr>
      <vt:lpstr>t5</vt:lpstr>
      <vt:lpstr>t6</vt:lpstr>
      <vt:lpstr>t7</vt:lpstr>
      <vt:lpstr>t8</vt:lpstr>
      <vt:lpstr>t9</vt:lpstr>
      <vt:lpstr>t10</vt:lpstr>
      <vt:lpstr>t11</vt:lpstr>
      <vt:lpstr>t12</vt:lpstr>
      <vt:lpstr>t13</vt:lpstr>
      <vt:lpstr>t14</vt:lpstr>
      <vt:lpstr>t15(1)</vt:lpstr>
      <vt:lpstr>t15(2)</vt:lpstr>
      <vt:lpstr>SICI(1)</vt:lpstr>
      <vt:lpstr>SICI(2)</vt:lpstr>
      <vt:lpstr>Tabella Riconciliazione</vt:lpstr>
      <vt:lpstr>Valori Medi</vt:lpstr>
      <vt:lpstr>Squadratura 1</vt:lpstr>
      <vt:lpstr>Squadratura 2</vt:lpstr>
      <vt:lpstr>Squadratura 3</vt:lpstr>
      <vt:lpstr>Squadratura 4</vt:lpstr>
      <vt:lpstr>Squadratura 6</vt:lpstr>
      <vt:lpstr>Squadratura 7</vt:lpstr>
      <vt:lpstr>Incongruenze 1 e 11</vt:lpstr>
      <vt:lpstr>Incongruenza 2</vt:lpstr>
      <vt:lpstr>Incongruenza 3</vt:lpstr>
      <vt:lpstr>Incongruenza 4 e controlli t14</vt:lpstr>
      <vt:lpstr>Incongruenza 5</vt:lpstr>
      <vt:lpstr>Incongruenza 6</vt:lpstr>
      <vt:lpstr>Incongruenza 7</vt:lpstr>
      <vt:lpstr>Incongruenza 8</vt:lpstr>
      <vt:lpstr>Incongruenza 10</vt:lpstr>
      <vt:lpstr>Incongruenze 12 e 13</vt:lpstr>
      <vt:lpstr>Incongruenza 14</vt:lpstr>
      <vt:lpstr>Incongruenza 15</vt:lpstr>
      <vt:lpstr>'SI_1A(COMUNI-PROVINCE-CITTA_ME)'!_Hlk124504388</vt:lpstr>
      <vt:lpstr>'Incongruenza 15'!Area_stampa</vt:lpstr>
      <vt:lpstr>'Incongruenza 3'!Area_stampa</vt:lpstr>
      <vt:lpstr>'Incongruenze 1 e 11'!Area_stampa</vt:lpstr>
      <vt:lpstr>'Incongruenze 12 e 13'!Area_stampa</vt:lpstr>
      <vt:lpstr>SI_1!Area_stampa</vt:lpstr>
      <vt:lpstr>'SI_1A(COMUNI-PROVINCE-CITTA_ME)'!Area_stampa</vt:lpstr>
      <vt:lpstr>'SI_1A(COMUNITA_MONTANE)'!Area_stampa</vt:lpstr>
      <vt:lpstr>'SI_1A(UNIONE_COMUNI)'!Area_stampa</vt:lpstr>
      <vt:lpstr>SI_1A_CONV!Area_stampa</vt:lpstr>
      <vt:lpstr>'SICI(1)'!Area_stampa</vt:lpstr>
      <vt:lpstr>'SICI(2)'!Area_stampa</vt:lpstr>
      <vt:lpstr>'Squadratura 1'!Area_stampa</vt:lpstr>
      <vt:lpstr>'Squadratura 2'!Area_stampa</vt:lpstr>
      <vt:lpstr>'Squadratura 3'!Area_stampa</vt:lpstr>
      <vt:lpstr>'Squadratura 4'!Area_stampa</vt:lpstr>
      <vt:lpstr>'Squadratura 6'!Area_stampa</vt:lpstr>
      <vt:lpstr>'Squadratura 7'!Area_stampa</vt:lpstr>
      <vt:lpstr>'t1'!Area_stampa</vt:lpstr>
      <vt:lpstr>'t10'!Area_stampa</vt:lpstr>
      <vt:lpstr>'t11'!Area_stampa</vt:lpstr>
      <vt:lpstr>'t12'!Area_stampa</vt:lpstr>
      <vt:lpstr>'t13'!Area_stampa</vt:lpstr>
      <vt:lpstr>'t14'!Area_stampa</vt:lpstr>
      <vt:lpstr>'t15(1)'!Area_stampa</vt:lpstr>
      <vt:lpstr>'t15(2)'!Area_stampa</vt:lpstr>
      <vt:lpstr>t2A!Area_stampa</vt:lpstr>
      <vt:lpstr>'t3'!Area_stampa</vt:lpstr>
      <vt:lpstr>'t5'!Area_stampa</vt:lpstr>
      <vt:lpstr>'t7'!Area_stampa</vt:lpstr>
      <vt:lpstr>'t8'!Area_stampa</vt:lpstr>
      <vt:lpstr>'t9'!Area_stampa</vt:lpstr>
      <vt:lpstr>'Valori Medi'!Area_stampa</vt:lpstr>
      <vt:lpstr>'Incongruenze 1 e 11'!Titoli_stampa</vt:lpstr>
      <vt:lpstr>'Incongruenze 12 e 13'!Titoli_stampa</vt:lpstr>
      <vt:lpstr>'SICI(1)'!Titoli_stampa</vt:lpstr>
      <vt:lpstr>'SICI(2)'!Titoli_stampa</vt:lpstr>
      <vt:lpstr>'t1'!Titoli_stampa</vt:lpstr>
      <vt:lpstr>'t10'!Titoli_stampa</vt:lpstr>
      <vt:lpstr>'t12'!Titoli_stampa</vt:lpstr>
      <vt:lpstr>'t13'!Titoli_stampa</vt:lpstr>
      <vt:lpstr>'t15(1)'!Titoli_stampa</vt:lpstr>
      <vt:lpstr>'t2'!Titoli_stampa</vt:lpstr>
      <vt:lpstr>'t4'!Titoli_stampa</vt:lpstr>
      <vt:lpstr>'Valori Medi'!Titoli_stampa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 G. O. P. DIV.  VI</dc:creator>
  <cp:lastModifiedBy>Clarissa GREGORI</cp:lastModifiedBy>
  <cp:lastPrinted>2025-07-10T12:32:03Z</cp:lastPrinted>
  <dcterms:created xsi:type="dcterms:W3CDTF">1998-10-29T14:18:41Z</dcterms:created>
  <dcterms:modified xsi:type="dcterms:W3CDTF">2025-07-28T17:25:32Z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